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acy\Documents\Iacy - Documentos\Licitação\Limpeza e Conservação\"/>
    </mc:Choice>
  </mc:AlternateContent>
  <bookViews>
    <workbookView xWindow="0" yWindow="0" windowWidth="21000" windowHeight="11985" tabRatio="500"/>
  </bookViews>
  <sheets>
    <sheet name="INSERÇÃO-DE-DADOS" sheetId="1" r:id="rId1"/>
    <sheet name="DADOS-ESTATISTICOS" sheetId="2" r:id="rId2"/>
    <sheet name="ENCARGOS-SOCIAIS-E-TRABALHISTAS" sheetId="3" r:id="rId3"/>
    <sheet name="POSTO 12x36 HORAS OU 44 HORAS" sheetId="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HORAS'!$F$91</definedName>
    <definedName name="AL_6_B_LUCRO" localSheetId="3">'POSTO 12x36 HORAS OU 44 HORAS'!$F$92</definedName>
    <definedName name="AL_6_C_1_PIS" localSheetId="3">'POSTO 12x36 HORAS OU 44 HORAS'!$F$94</definedName>
    <definedName name="AL_6_C_2_COFINS" localSheetId="3">'POSTO 12x36 HORAS OU 44 HORAS'!$F$95</definedName>
    <definedName name="AL_6_C_3_ISS" localSheetId="3">'POSTO 12x36 HORAS OU 44 HORAS'!$F$96</definedName>
    <definedName name="AL_6_C_TRIBUTOS" localSheetId="3">'POSTO 12x36 HORAS OU 44 HORAS'!$F$93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'DADOS-ESTATISTICOS'!$F$28</definedName>
    <definedName name="DIAS_LICENCA_MATERNIDADE">'DADOS-ESTATISTICOS'!$F$34</definedName>
    <definedName name="DIAS_LICENCA_PATERNIDADE">'DADOS-ESTATISTICOS'!$F$29</definedName>
    <definedName name="DIAS_NA_SEMANA">'DADOS-ESTATISTICOS'!$F$5</definedName>
    <definedName name="DIAS_NO_ANO">'DADOS-ESTATISTICOS'!$F$6</definedName>
    <definedName name="DIAS_NO_MES">'DADOS-ESTATISTICOS'!$F$23</definedName>
    <definedName name="DIAS_PAGOS_EMPRESA_ACID_TRAB">'DADOS-ESTATISTICOS'!$F$33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HORAS'!$F$64</definedName>
    <definedName name="MOD_4_CUSTO_REPOSICAO" localSheetId="3">'POSTO 12x36 HORAS OU 44 HORAS'!$F$75+'POSTO 12x36 HORAS OU 44 HORAS'!$F$79</definedName>
    <definedName name="MOD_5_INSUMOS" localSheetId="3">'POSTO 12x36 HORAS OU 44 HORAS'!$F$87</definedName>
    <definedName name="MOD_6_CUSTOS_IND_LUCRO_TRIB" localSheetId="3">'POSTO 12x36 HORAS OU 44 HORAS'!$F$97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'ENCARGOS-SOCIAIS-E-TRABALHISTAS'!$E$23</definedName>
    <definedName name="PERC_COFINS">'INSERÇÃO-DE-DADOS'!$F$70</definedName>
    <definedName name="PERC_CONTRIB_SOCIAL">'DADOS-ESTATISTICOS'!$F$21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'DADOS-ESTATISTICOS'!$F$32</definedName>
    <definedName name="PERC_EMPREG_AVISO_PREVIO_IND">'DADOS-ESTATISTICOS'!$F$19</definedName>
    <definedName name="PERC_EMPREG_AVISO_PREVIO_TRAB">'DADOS-ESTATISTICOS'!$F$22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'ENCARGOS-SOCIAIS-E-TRABALHISTAS'!$E$21</definedName>
    <definedName name="PERC_GPS_FGTS">'ENCARGOS-SOCIAIS-E-TRABALHISTAS'!$E$17</definedName>
    <definedName name="PERC_GPS_FGTS_AVISO_PREVIO_TRAB">'ENCARGOS-SOCIAIS-E-TRABALHISTAS'!$E$24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HORAS'!$E$64</definedName>
    <definedName name="PERC_MULTA_FGTS">'DADOS-ESTATISTICOS'!$F$20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'DADOS-ESTATISTICOS'!$F$30</definedName>
    <definedName name="PERC_PARTIC_FEM_VIGIL">'DADOS-ESTATISTICOS'!$F$35</definedName>
    <definedName name="PERC_PARTIC_MASC_VIGIL">'DADOS-ESTATISTICOS'!$F$31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'INSERÇÃO-DE-DADOS'!$F$51</definedName>
    <definedName name="PERC_TRIBUTOS" localSheetId="3">'POSTO 12x36 HORAS OU 44 HORAS'!$E$93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HORAS'!$F$75</definedName>
    <definedName name="SUBMOD_4_2_INTRAJORNADA" localSheetId="3">'POSTO 12x36 HORAS OU 44 HORAS'!$F$79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HORAS'!$F$106</definedName>
    <definedName name="VALOR_TOTAL_POSTO" localSheetId="3">'POSTO 12x36 HORAS OU 44 HORAS'!$F$107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6" i="4" l="1"/>
  <c r="E95" i="4"/>
  <c r="E94" i="4"/>
  <c r="E93" i="4" s="1"/>
  <c r="E92" i="4"/>
  <c r="E91" i="4"/>
  <c r="F86" i="4"/>
  <c r="C86" i="4"/>
  <c r="F85" i="4"/>
  <c r="F84" i="4"/>
  <c r="F83" i="4"/>
  <c r="F87" i="4" s="1"/>
  <c r="F104" i="4" s="1"/>
  <c r="F78" i="4"/>
  <c r="F79" i="4" s="1"/>
  <c r="E74" i="4"/>
  <c r="C74" i="4"/>
  <c r="E73" i="4"/>
  <c r="E71" i="4"/>
  <c r="E69" i="4"/>
  <c r="E61" i="4"/>
  <c r="F54" i="4"/>
  <c r="C54" i="4"/>
  <c r="F53" i="4"/>
  <c r="C53" i="4"/>
  <c r="F52" i="4"/>
  <c r="C52" i="4"/>
  <c r="F51" i="4"/>
  <c r="E46" i="4"/>
  <c r="E45" i="4"/>
  <c r="E44" i="4"/>
  <c r="E43" i="4"/>
  <c r="E42" i="4"/>
  <c r="E41" i="4"/>
  <c r="E40" i="4"/>
  <c r="E39" i="4"/>
  <c r="F29" i="4"/>
  <c r="C29" i="4"/>
  <c r="F28" i="4"/>
  <c r="C28" i="4"/>
  <c r="F27" i="4"/>
  <c r="C27" i="4"/>
  <c r="F26" i="4"/>
  <c r="F23" i="4"/>
  <c r="F22" i="4"/>
  <c r="F19" i="4"/>
  <c r="F17" i="4"/>
  <c r="D16" i="4"/>
  <c r="D15" i="4"/>
  <c r="E14" i="4"/>
  <c r="F12" i="4"/>
  <c r="F11" i="4"/>
  <c r="F10" i="4"/>
  <c r="D9" i="4"/>
  <c r="F8" i="4"/>
  <c r="F6" i="4"/>
  <c r="D6" i="4"/>
  <c r="D5" i="4"/>
  <c r="F2" i="4"/>
  <c r="B2" i="4"/>
  <c r="B1" i="4"/>
  <c r="E34" i="3"/>
  <c r="C34" i="3"/>
  <c r="E33" i="3"/>
  <c r="E32" i="3"/>
  <c r="E31" i="3"/>
  <c r="E30" i="3"/>
  <c r="E29" i="3"/>
  <c r="E25" i="3"/>
  <c r="E23" i="3"/>
  <c r="E22" i="3"/>
  <c r="E60" i="4" s="1"/>
  <c r="E21" i="3"/>
  <c r="E20" i="3"/>
  <c r="E58" i="4" s="1"/>
  <c r="E17" i="3"/>
  <c r="E24" i="3" s="1"/>
  <c r="E6" i="3"/>
  <c r="E5" i="3"/>
  <c r="F40" i="2"/>
  <c r="F39" i="2"/>
  <c r="F32" i="2"/>
  <c r="E71" i="1"/>
  <c r="E70" i="1"/>
  <c r="E69" i="1"/>
  <c r="E62" i="4" l="1"/>
  <c r="E34" i="4"/>
  <c r="E59" i="4"/>
  <c r="E63" i="4"/>
  <c r="F24" i="4"/>
  <c r="F30" i="4" s="1"/>
  <c r="E35" i="4"/>
  <c r="F50" i="4"/>
  <c r="F55" i="4" s="1"/>
  <c r="E70" i="4"/>
  <c r="E72" i="4"/>
  <c r="F25" i="4"/>
  <c r="F100" i="4" l="1"/>
  <c r="F34" i="4"/>
  <c r="F35" i="4"/>
  <c r="F36" i="4" l="1"/>
  <c r="F41" i="4" l="1"/>
  <c r="F40" i="4"/>
  <c r="F59" i="4"/>
  <c r="F39" i="4"/>
  <c r="F46" i="4"/>
  <c r="F58" i="4" s="1"/>
  <c r="F45" i="4"/>
  <c r="F44" i="4"/>
  <c r="F63" i="4"/>
  <c r="F62" i="4"/>
  <c r="F43" i="4"/>
  <c r="F60" i="4"/>
  <c r="F42" i="4"/>
  <c r="F47" i="4" l="1"/>
  <c r="F61" i="4" l="1"/>
  <c r="F64" i="4" s="1"/>
  <c r="F101" i="4"/>
  <c r="F102" i="4" l="1"/>
  <c r="F72" i="4"/>
  <c r="F91" i="4"/>
  <c r="F71" i="4"/>
  <c r="F70" i="4"/>
  <c r="F73" i="4"/>
  <c r="F74" i="4"/>
  <c r="F69" i="4"/>
  <c r="F75" i="4" s="1"/>
  <c r="F103" i="4" s="1"/>
  <c r="F92" i="4" l="1"/>
  <c r="F96" i="4" s="1"/>
  <c r="F95" i="4"/>
  <c r="F94" i="4" l="1"/>
  <c r="F93" i="4" s="1"/>
  <c r="F97" i="4" s="1"/>
  <c r="F105" i="4" s="1"/>
  <c r="F106" i="4" s="1"/>
  <c r="F108" i="4" l="1"/>
  <c r="F107" i="4"/>
</calcChain>
</file>

<file path=xl/sharedStrings.xml><?xml version="1.0" encoding="utf-8"?>
<sst xmlns="http://schemas.openxmlformats.org/spreadsheetml/2006/main" count="444" uniqueCount="202">
  <si>
    <t>RAMO: MINISTÉRIO PÚBLICO FEDERAL</t>
  </si>
  <si>
    <t>UNIDADE GESTORA (SIGLA): PR/AP</t>
  </si>
  <si>
    <t>DATA:</t>
  </si>
  <si>
    <t>CUSTOS REFERENTES AOS SERVIÇOS CONTRATADOS</t>
  </si>
  <si>
    <t>Dados referentes à licitação</t>
  </si>
  <si>
    <t>Nº do Processo (X.XX.XXX.XXXXXX/XXXX-XX)</t>
  </si>
  <si>
    <t>1.12.000.001095/2019-21</t>
  </si>
  <si>
    <t>Modalidade de Licitação nº (XX/AAAA)</t>
  </si>
  <si>
    <t>Pregão nº</t>
  </si>
  <si>
    <t>XX/20XX</t>
  </si>
  <si>
    <t>Data / Horário</t>
  </si>
  <si>
    <t>XX/XX/20XX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</si>
  <si>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</si>
  <si>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</si>
  <si>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</si>
  <si>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</si>
  <si>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</si>
  <si>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</si>
  <si>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Sede e Anexo</t>
  </si>
  <si>
    <t>C</t>
  </si>
  <si>
    <t>Unidade da Federação</t>
  </si>
  <si>
    <t>AP</t>
  </si>
  <si>
    <t>D</t>
  </si>
  <si>
    <t>Acordo, Conv. ou Sentença Normativa em Dissídio Coletivo (MM/AAAA)</t>
  </si>
  <si>
    <t>XX/2019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</si>
  <si>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</si>
  <si>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</si>
  <si>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</si>
  <si>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</si>
  <si>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</si>
  <si>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</si>
  <si>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</si>
  <si>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</si>
  <si>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Prestação do serviço de garçom na Procuradoria da República no Estado do Amapá.</t>
  </si>
  <si>
    <t>posto</t>
  </si>
  <si>
    <t>Mão de obra</t>
  </si>
  <si>
    <t>Classificação Brasileira de Ocupações (CBO)</t>
  </si>
  <si>
    <t>5134-05</t>
  </si>
  <si>
    <t>Categoria Profissional (vinculada à execução contratual)</t>
  </si>
  <si>
    <t>GARÇOM I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</si>
  <si>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</si>
  <si>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</si>
  <si>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</si>
  <si>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</si>
  <si>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</si>
  <si>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</si>
  <si>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</si>
  <si>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</si>
  <si>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</si>
  <si>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</si>
  <si>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</si>
  <si>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</si>
  <si>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</si>
  <si>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</si>
  <si>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</si>
  <si>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</si>
  <si>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</si>
  <si>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</si>
  <si>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</si>
  <si>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</si>
  <si>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</si>
  <si>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</si>
  <si>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</si>
  <si>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</si>
  <si>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</si>
  <si>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</si>
  <si>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Auxílio Funeral</t>
  </si>
  <si>
    <t>Outros Benefícios 2 (Especificar)</t>
  </si>
  <si>
    <t>Outros Benefícios 3 (Especificar)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</si>
  <si>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</si>
  <si>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</si>
  <si>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</si>
  <si>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</si>
  <si>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</si>
  <si>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</si>
  <si>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</si>
  <si>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</si>
  <si>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</si>
  <si>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</si>
  <si>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</si>
  <si>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</si>
  <si>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</si>
  <si>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</si>
  <si>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</si>
  <si>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</si>
  <si>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</t>
  </si>
  <si>
    <t>Equipamentos</t>
  </si>
  <si>
    <t>Outros (Especificar)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</si>
  <si>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</si>
  <si>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</si>
  <si>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</si>
  <si>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</si>
  <si>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</si>
  <si>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</si>
  <si>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</si>
  <si>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</si>
  <si>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</si>
  <si>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</si>
  <si>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</si>
  <si>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</si>
  <si>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</si>
  <si>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</si>
  <si>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</si>
  <si>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</si>
  <si>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</si>
  <si>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</si>
  <si>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</si>
  <si>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</si>
  <si>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</si>
  <si>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</si>
  <si>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</si>
  <si>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</si>
  <si>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</si>
  <si>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</si>
  <si>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</si>
  <si>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</si>
  <si>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</si>
  <si>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</si>
  <si>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</si>
  <si>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</si>
  <si>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Contribuição Social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</si>
  <si>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</si>
  <si>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</si>
  <si>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</si>
  <si>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</si>
  <si>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</si>
  <si>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</si>
  <si>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</si>
  <si>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</si>
  <si>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</si>
  <si>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</si>
  <si>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</si>
  <si>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</si>
  <si>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</si>
  <si>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</si>
  <si>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</si>
  <si>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</si>
  <si>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</si>
  <si>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</si>
  <si>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</si>
  <si>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</si>
  <si>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</si>
  <si>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</si>
  <si>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</si>
  <si>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</si>
  <si>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</si>
  <si>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</si>
  <si>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</si>
  <si>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</si>
  <si>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</si>
  <si>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</si>
  <si>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</si>
  <si>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</si>
  <si>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</si>
  <si>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</si>
  <si>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</si>
  <si>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</si>
  <si>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[(62,93%) x 5,55% x (1/12)] x 100</t>
  </si>
  <si>
    <t>Incidência do FGTS sobre o Aviso Prévio Indenizado</t>
  </si>
  <si>
    <t>(8,00% x 0,29%) x 100</t>
  </si>
  <si>
    <t>Multa do FGTS e Contribuição Social sobre o Aviso Prévio Indenizado</t>
  </si>
  <si>
    <t>[(0,29%) x (40% + 10%) x 8,00%] x 100</t>
  </si>
  <si>
    <t>Aviso Prévio Trabalhado</t>
  </si>
  <si>
    <t>[(62,93%) x 94,45% x (7/30)/12] x 100</t>
  </si>
  <si>
    <t>Incidência de GPS, FGTS e Outras Contribuições sobre Aviso Prévio Trabalhado</t>
  </si>
  <si>
    <t>(36,80% x 1,16%) x 100</t>
  </si>
  <si>
    <t>Multa do FGTS e Contribuição Social sobre o Aviso Prévio Trabalhado</t>
  </si>
  <si>
    <t>[(1,16%) x (40% + 10%) x 8,00%)]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</si>
  <si>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</si>
  <si>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</si>
  <si>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</si>
  <si>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</si>
  <si>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</si>
  <si>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</si>
  <si>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</si>
  <si>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</si>
  <si>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</si>
  <si>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</si>
  <si>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</si>
  <si>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Nº do Processo</t>
  </si>
  <si>
    <t>Modalidade de Licitação</t>
  </si>
  <si>
    <t>DISCRIMINAÇÃO DOS SERVIÇOS (DADOS REFERENTES À CONTRATAÇÃO)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</si>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</sst>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/yy"/>
    <numFmt numFmtId="165" formatCode="d/m/yyyy"/>
    <numFmt numFmtId="166" formatCode="#,##0.00_);\(#,##0.00\)"/>
    <numFmt numFmtId="167" formatCode="#,##0_);\(#,##0\)"/>
    <numFmt numFmtId="168" formatCode="#,##0.0"/>
    <numFmt numFmtId="169" formatCode="#,##0.00_ ;\-#,##0.00\ "/>
  </numFmts>
  <fonts count="17" x14ac:knownFonts="1">
    <font>
      <sz val="10"/>
      <name val="Arial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/>
      <sz val="16"/>
      <color rgb="FF632523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name val="Segoe UI Light"/>
      <family val="2"/>
      <charset val="1"/>
    </font>
    <font>
      <b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b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/>
      <sz val="12"/>
      <color rgb="FF632523"/>
      <name val="Segoe UI Light"/>
      <family val="2"/>
      <charset val="1"/>
    </font>
    <font>
      <b/>
      <sz val="20"/>
      <color rgb="FF953735"/>
      <name val="Segoe UI Light"/>
      <family val="2"/>
      <charset val="1"/>
    </font>
    <font>
      <b/>
      <sz val="16"/>
      <name val="Segoe UI Light"/>
      <family val="2"/>
      <charset val="1"/>
    </font>
    <font>
      <i/>
      <sz val="10"/>
      <name val="Segoe UI Light"/>
      <family val="2"/>
      <charset val="1"/>
    </font>
    <font>
      <b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8">
    <border>
      <left/>
      <right/>
      <top/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2F2F2"/>
      </top>
      <bottom/>
      <diagonal/>
    </border>
    <border>
      <left/>
      <right/>
      <top/>
      <bottom style="thin">
        <color rgb="FFF2F2F2"/>
      </bottom>
      <diagonal/>
    </border>
  </borders>
  <cellStyleXfs count="1">
    <xf numFmtId="0" fontId="0" fillId="0" borderId="0"/>
  </cellStyleXfs>
  <cellXfs count="144">
    <xf numFmtId="0" fontId="0" fillId="0" borderId="0" xfId="0"/>
    <xf numFmtId="166" fontId="1" fillId="3" borderId="1" xfId="0" applyNumberFormat="1" applyFont="1" applyFill="1" applyBorder="1" applyAlignment="1" applyProtection="1">
      <alignment horizontal="left" vertical="center" wrapText="1"/>
      <protection locked="0"/>
    </xf>
    <xf numFmtId="166" fontId="1" fillId="4" borderId="1" xfId="0" applyNumberFormat="1" applyFont="1" applyFill="1" applyBorder="1" applyAlignment="1" applyProtection="1">
      <alignment horizontal="left" vertical="center" wrapText="1"/>
    </xf>
    <xf numFmtId="166" fontId="1" fillId="6" borderId="1" xfId="0" applyNumberFormat="1" applyFont="1" applyFill="1" applyBorder="1" applyAlignment="1" applyProtection="1">
      <alignment horizontal="left" vertical="center" wrapText="1"/>
    </xf>
    <xf numFmtId="0" fontId="5" fillId="5" borderId="1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left"/>
    </xf>
    <xf numFmtId="0" fontId="5" fillId="5" borderId="3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  <protection locked="0"/>
    </xf>
    <xf numFmtId="0" fontId="1" fillId="2" borderId="0" xfId="0" applyFont="1" applyFill="1" applyProtection="1"/>
    <xf numFmtId="0" fontId="2" fillId="4" borderId="2" xfId="0" applyFont="1" applyFill="1" applyBorder="1" applyAlignment="1" applyProtection="1">
      <alignment horizontal="right"/>
    </xf>
    <xf numFmtId="164" fontId="2" fillId="3" borderId="2" xfId="0" applyNumberFormat="1" applyFont="1" applyFill="1" applyBorder="1" applyAlignment="1" applyProtection="1">
      <protection locked="0"/>
    </xf>
    <xf numFmtId="0" fontId="3" fillId="2" borderId="0" xfId="0" applyFont="1" applyFill="1" applyProtection="1"/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left"/>
    </xf>
    <xf numFmtId="49" fontId="1" fillId="2" borderId="0" xfId="0" applyNumberFormat="1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165" fontId="1" fillId="3" borderId="1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justify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6" borderId="1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/>
    <xf numFmtId="0" fontId="1" fillId="4" borderId="1" xfId="0" applyFont="1" applyFill="1" applyBorder="1" applyAlignment="1" applyProtection="1"/>
    <xf numFmtId="4" fontId="1" fillId="3" borderId="1" xfId="0" applyNumberFormat="1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165" fontId="1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Protection="1"/>
    <xf numFmtId="0" fontId="7" fillId="2" borderId="0" xfId="0" applyFont="1" applyFill="1" applyAlignment="1" applyProtection="1">
      <alignment horizontal="left"/>
    </xf>
    <xf numFmtId="166" fontId="1" fillId="2" borderId="0" xfId="0" applyNumberFormat="1" applyFont="1" applyFill="1" applyBorder="1" applyAlignment="1" applyProtection="1">
      <alignment horizontal="right"/>
    </xf>
    <xf numFmtId="0" fontId="5" fillId="5" borderId="1" xfId="0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Protection="1"/>
    <xf numFmtId="166" fontId="1" fillId="2" borderId="0" xfId="0" applyNumberFormat="1" applyFont="1" applyFill="1" applyAlignment="1" applyProtection="1">
      <alignment horizontal="center"/>
    </xf>
    <xf numFmtId="0" fontId="5" fillId="5" borderId="4" xfId="0" applyFont="1" applyFill="1" applyBorder="1" applyAlignment="1" applyProtection="1">
      <alignment horizontal="center" vertical="center"/>
    </xf>
    <xf numFmtId="166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4" borderId="1" xfId="0" applyFont="1" applyFill="1" applyBorder="1" applyAlignment="1" applyProtection="1">
      <alignment horizontal="center"/>
    </xf>
    <xf numFmtId="167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166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166" fontId="6" fillId="2" borderId="0" xfId="0" applyNumberFormat="1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/>
    </xf>
    <xf numFmtId="166" fontId="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Alignment="1" applyProtection="1">
      <alignment wrapText="1"/>
    </xf>
    <xf numFmtId="0" fontId="8" fillId="2" borderId="0" xfId="0" applyFont="1" applyFill="1" applyAlignment="1" applyProtection="1">
      <alignment horizontal="center" wrapText="1"/>
    </xf>
    <xf numFmtId="0" fontId="1" fillId="2" borderId="0" xfId="0" applyFont="1" applyFill="1" applyAlignment="1" applyProtection="1">
      <alignment wrapText="1"/>
    </xf>
    <xf numFmtId="166" fontId="1" fillId="3" borderId="1" xfId="0" applyNumberFormat="1" applyFont="1" applyFill="1" applyBorder="1" applyAlignment="1" applyProtection="1">
      <alignment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 wrapText="1"/>
    </xf>
    <xf numFmtId="166" fontId="11" fillId="2" borderId="0" xfId="0" applyNumberFormat="1" applyFont="1" applyFill="1" applyBorder="1" applyAlignment="1" applyProtection="1">
      <alignment horizontal="center" vertical="center" wrapText="1"/>
    </xf>
    <xf numFmtId="3" fontId="1" fillId="6" borderId="1" xfId="0" applyNumberFormat="1" applyFont="1" applyFill="1" applyBorder="1" applyAlignment="1" applyProtection="1">
      <alignment horizontal="right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</xf>
    <xf numFmtId="168" fontId="1" fillId="4" borderId="1" xfId="0" applyNumberFormat="1" applyFont="1" applyFill="1" applyBorder="1" applyAlignment="1" applyProtection="1">
      <alignment horizontal="right" vertical="center" wrapText="1"/>
    </xf>
    <xf numFmtId="168" fontId="1" fillId="6" borderId="1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Protection="1"/>
    <xf numFmtId="167" fontId="1" fillId="4" borderId="1" xfId="0" applyNumberFormat="1" applyFont="1" applyFill="1" applyBorder="1" applyAlignment="1" applyProtection="1">
      <alignment horizontal="right" vertical="center" wrapText="1"/>
    </xf>
    <xf numFmtId="166" fontId="1" fillId="6" borderId="1" xfId="0" applyNumberFormat="1" applyFont="1" applyFill="1" applyBorder="1" applyAlignment="1" applyProtection="1">
      <alignment horizontal="right" vertical="center" wrapText="1"/>
    </xf>
    <xf numFmtId="166" fontId="1" fillId="4" borderId="1" xfId="0" applyNumberFormat="1" applyFont="1" applyFill="1" applyBorder="1" applyAlignment="1" applyProtection="1">
      <alignment horizontal="right" vertical="center" wrapText="1"/>
    </xf>
    <xf numFmtId="167" fontId="1" fillId="6" borderId="1" xfId="0" applyNumberFormat="1" applyFont="1" applyFill="1" applyBorder="1" applyAlignment="1" applyProtection="1">
      <alignment horizontal="right" vertical="center" wrapText="1"/>
    </xf>
    <xf numFmtId="2" fontId="1" fillId="6" borderId="1" xfId="0" applyNumberFormat="1" applyFont="1" applyFill="1" applyBorder="1" applyAlignment="1" applyProtection="1">
      <alignment horizontal="center" vertical="center" wrapText="1"/>
    </xf>
    <xf numFmtId="2" fontId="1" fillId="4" borderId="1" xfId="0" applyNumberFormat="1" applyFont="1" applyFill="1" applyBorder="1" applyAlignment="1" applyProtection="1">
      <alignment horizontal="center" vertical="center"/>
    </xf>
    <xf numFmtId="2" fontId="1" fillId="4" borderId="1" xfId="0" applyNumberFormat="1" applyFont="1" applyFill="1" applyBorder="1" applyAlignment="1" applyProtection="1">
      <alignment horizontal="center" vertical="center" wrapText="1"/>
    </xf>
    <xf numFmtId="2" fontId="5" fillId="5" borderId="1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vertical="center" wrapText="1"/>
    </xf>
    <xf numFmtId="165" fontId="2" fillId="4" borderId="2" xfId="0" applyNumberFormat="1" applyFont="1" applyFill="1" applyBorder="1" applyAlignment="1" applyProtection="1">
      <alignment horizontal="right"/>
    </xf>
    <xf numFmtId="165" fontId="2" fillId="4" borderId="2" xfId="0" applyNumberFormat="1" applyFont="1" applyFill="1" applyBorder="1" applyAlignment="1" applyProtection="1"/>
    <xf numFmtId="49" fontId="1" fillId="4" borderId="1" xfId="0" applyNumberFormat="1" applyFont="1" applyFill="1" applyBorder="1" applyAlignment="1" applyProtection="1">
      <alignment horizontal="center"/>
    </xf>
    <xf numFmtId="165" fontId="1" fillId="6" borderId="1" xfId="0" applyNumberFormat="1" applyFont="1" applyFill="1" applyBorder="1" applyAlignment="1" applyProtection="1">
      <alignment horizontal="center"/>
    </xf>
    <xf numFmtId="2" fontId="1" fillId="6" borderId="1" xfId="0" applyNumberFormat="1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vertical="top"/>
    </xf>
    <xf numFmtId="0" fontId="4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top"/>
    </xf>
    <xf numFmtId="165" fontId="1" fillId="4" borderId="1" xfId="0" applyNumberFormat="1" applyFont="1" applyFill="1" applyBorder="1" applyAlignment="1" applyProtection="1">
      <alignment horizontal="center"/>
    </xf>
    <xf numFmtId="0" fontId="11" fillId="2" borderId="0" xfId="0" applyFont="1" applyFill="1" applyProtection="1"/>
    <xf numFmtId="167" fontId="1" fillId="6" borderId="1" xfId="0" applyNumberFormat="1" applyFont="1" applyFill="1" applyBorder="1" applyAlignment="1" applyProtection="1">
      <alignment horizontal="center"/>
    </xf>
    <xf numFmtId="4" fontId="1" fillId="6" borderId="1" xfId="0" applyNumberFormat="1" applyFont="1" applyFill="1" applyBorder="1" applyAlignment="1" applyProtection="1">
      <alignment horizontal="right" vertical="center" wrapText="1"/>
    </xf>
    <xf numFmtId="4" fontId="1" fillId="4" borderId="1" xfId="0" applyNumberFormat="1" applyFont="1" applyFill="1" applyBorder="1" applyAlignment="1" applyProtection="1">
      <alignment horizontal="right" vertical="center" wrapText="1"/>
    </xf>
    <xf numFmtId="4" fontId="5" fillId="5" borderId="1" xfId="0" applyNumberFormat="1" applyFont="1" applyFill="1" applyBorder="1" applyAlignment="1" applyProtection="1">
      <alignment horizontal="right" vertical="center" wrapText="1"/>
    </xf>
    <xf numFmtId="4" fontId="5" fillId="5" borderId="1" xfId="0" applyNumberFormat="1" applyFont="1" applyFill="1" applyBorder="1" applyAlignment="1" applyProtection="1">
      <alignment horizontal="right"/>
    </xf>
    <xf numFmtId="4" fontId="5" fillId="5" borderId="1" xfId="0" applyNumberFormat="1" applyFont="1" applyFill="1" applyBorder="1" applyAlignment="1" applyProtection="1">
      <alignment horizontal="right" vertical="center"/>
    </xf>
    <xf numFmtId="0" fontId="14" fillId="2" borderId="0" xfId="0" applyFont="1" applyFill="1" applyBorder="1" applyAlignment="1" applyProtection="1">
      <alignment horizontal="left" vertical="center"/>
    </xf>
    <xf numFmtId="169" fontId="1" fillId="4" borderId="1" xfId="0" applyNumberFormat="1" applyFont="1" applyFill="1" applyBorder="1" applyAlignment="1" applyProtection="1">
      <alignment horizontal="center" vertical="center" wrapText="1"/>
    </xf>
    <xf numFmtId="166" fontId="1" fillId="6" borderId="5" xfId="0" applyNumberFormat="1" applyFont="1" applyFill="1" applyBorder="1" applyAlignment="1" applyProtection="1">
      <alignment horizontal="right" vertical="center" wrapText="1"/>
    </xf>
    <xf numFmtId="166" fontId="1" fillId="4" borderId="5" xfId="0" applyNumberFormat="1" applyFont="1" applyFill="1" applyBorder="1" applyAlignment="1" applyProtection="1">
      <alignment horizontal="right" vertical="center" wrapText="1"/>
    </xf>
    <xf numFmtId="4" fontId="5" fillId="5" borderId="5" xfId="0" applyNumberFormat="1" applyFont="1" applyFill="1" applyBorder="1" applyAlignment="1" applyProtection="1">
      <alignment horizontal="right" vertical="center" wrapText="1"/>
    </xf>
    <xf numFmtId="166" fontId="1" fillId="6" borderId="1" xfId="0" applyNumberFormat="1" applyFont="1" applyFill="1" applyBorder="1" applyAlignment="1" applyProtection="1">
      <alignment horizontal="center" vertical="center" wrapText="1"/>
    </xf>
    <xf numFmtId="166" fontId="1" fillId="4" borderId="1" xfId="0" applyNumberFormat="1" applyFont="1" applyFill="1" applyBorder="1" applyAlignment="1" applyProtection="1">
      <alignment horizontal="center" vertical="center" wrapText="1"/>
    </xf>
    <xf numFmtId="166" fontId="15" fillId="4" borderId="1" xfId="0" applyNumberFormat="1" applyFont="1" applyFill="1" applyBorder="1" applyAlignment="1" applyProtection="1">
      <alignment horizontal="center" vertical="center" wrapText="1"/>
    </xf>
    <xf numFmtId="166" fontId="15" fillId="4" borderId="1" xfId="0" applyNumberFormat="1" applyFont="1" applyFill="1" applyBorder="1" applyAlignment="1" applyProtection="1">
      <alignment horizontal="right" vertical="center" wrapText="1"/>
    </xf>
    <xf numFmtId="166" fontId="15" fillId="6" borderId="1" xfId="0" applyNumberFormat="1" applyFont="1" applyFill="1" applyBorder="1" applyAlignment="1" applyProtection="1">
      <alignment horizontal="center" vertical="center" wrapText="1"/>
    </xf>
    <xf numFmtId="166" fontId="15" fillId="6" borderId="1" xfId="0" applyNumberFormat="1" applyFont="1" applyFill="1" applyBorder="1" applyAlignment="1" applyProtection="1">
      <alignment horizontal="right" vertical="center" wrapText="1"/>
    </xf>
    <xf numFmtId="166" fontId="5" fillId="5" borderId="1" xfId="0" applyNumberFormat="1" applyFont="1" applyFill="1" applyBorder="1" applyAlignment="1" applyProtection="1">
      <alignment horizontal="right" vertical="center" wrapText="1"/>
    </xf>
    <xf numFmtId="0" fontId="16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</xf>
    <xf numFmtId="166" fontId="1" fillId="2" borderId="0" xfId="0" applyNumberFormat="1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left" vertical="center"/>
    </xf>
    <xf numFmtId="0" fontId="5" fillId="5" borderId="5" xfId="0" applyFont="1" applyFill="1" applyBorder="1" applyAlignment="1" applyProtection="1">
      <alignment horizontal="left" vertical="center" wrapText="1"/>
    </xf>
    <xf numFmtId="0" fontId="1" fillId="6" borderId="5" xfId="0" applyFont="1" applyFill="1" applyBorder="1" applyAlignment="1" applyProtection="1">
      <alignment horizontal="left" vertical="center" wrapText="1"/>
    </xf>
    <xf numFmtId="0" fontId="1" fillId="4" borderId="5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wrapText="1"/>
    </xf>
    <xf numFmtId="0" fontId="1" fillId="6" borderId="1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justify" vertical="center" wrapText="1"/>
    </xf>
    <xf numFmtId="0" fontId="1" fillId="4" borderId="1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left" vertical="center" wrapText="1"/>
    </xf>
    <xf numFmtId="0" fontId="5" fillId="5" borderId="1" xfId="0" applyFont="1" applyFill="1" applyBorder="1" applyAlignment="1" applyProtection="1">
      <alignment horizontal="justify" vertical="center" wrapText="1"/>
    </xf>
    <xf numFmtId="0" fontId="1" fillId="6" borderId="1" xfId="0" applyFont="1" applyFill="1" applyBorder="1" applyAlignment="1" applyProtection="1">
      <alignment horizontal="justify" vertical="center"/>
    </xf>
    <xf numFmtId="0" fontId="1" fillId="4" borderId="1" xfId="0" applyFont="1" applyFill="1" applyBorder="1" applyAlignment="1" applyProtection="1">
      <alignment horizontal="justify" vertical="center"/>
    </xf>
    <xf numFmtId="0" fontId="2" fillId="6" borderId="1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left"/>
    </xf>
    <xf numFmtId="0" fontId="1" fillId="6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right"/>
    </xf>
    <xf numFmtId="0" fontId="12" fillId="0" borderId="0" xfId="0" applyFont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left" vertical="center"/>
    </xf>
    <xf numFmtId="0" fontId="1" fillId="4" borderId="1" xfId="0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left" wrapText="1"/>
    </xf>
    <xf numFmtId="0" fontId="7" fillId="2" borderId="0" xfId="0" applyFont="1" applyFill="1" applyBorder="1" applyAlignment="1" applyProtection="1">
      <alignment horizontal="justify" vertical="center" wrapText="1"/>
    </xf>
    <xf numFmtId="4" fontId="1" fillId="4" borderId="1" xfId="0" applyNumberFormat="1" applyFont="1" applyFill="1" applyBorder="1" applyAlignment="1" applyProtection="1">
      <alignment horizontal="left" vertical="center" wrapText="1"/>
    </xf>
    <xf numFmtId="4" fontId="1" fillId="4" borderId="5" xfId="0" applyNumberFormat="1" applyFont="1" applyFill="1" applyBorder="1" applyAlignment="1" applyProtection="1">
      <alignment horizontal="left" vertical="center" wrapText="1"/>
    </xf>
    <xf numFmtId="0" fontId="15" fillId="4" borderId="1" xfId="0" applyFont="1" applyFill="1" applyBorder="1" applyAlignment="1" applyProtection="1">
      <alignment horizontal="left" vertical="center" wrapText="1" indent="1"/>
    </xf>
    <xf numFmtId="0" fontId="15" fillId="6" borderId="1" xfId="0" applyFont="1" applyFill="1" applyBorder="1" applyAlignment="1" applyProtection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4"/>
  <sheetViews>
    <sheetView tabSelected="1" zoomScaleNormal="100" workbookViewId="0">
      <selection activeCell="F42" sqref="F42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9.5703125" style="15" customWidth="1"/>
    <col min="5" max="5" width="13.5703125" style="15" customWidth="1"/>
    <col min="6" max="6" width="15.42578125" style="15" customWidth="1"/>
    <col min="7" max="1025" width="9.140625" style="15" customWidth="1"/>
  </cols>
  <sheetData>
    <row r="1" spans="1:6" ht="20.25" x14ac:dyDescent="0.35">
      <c r="B1" s="14" t="s">
        <v>0</v>
      </c>
      <c r="C1" s="14"/>
      <c r="D1" s="14"/>
      <c r="E1" s="14"/>
      <c r="F1" s="14"/>
    </row>
    <row r="2" spans="1:6" ht="20.25" x14ac:dyDescent="0.35">
      <c r="B2" s="14" t="s">
        <v>1</v>
      </c>
      <c r="C2" s="14"/>
      <c r="D2" s="14"/>
      <c r="E2" s="16" t="s">
        <v>2</v>
      </c>
      <c r="F2" s="17">
        <v>43938</v>
      </c>
    </row>
    <row r="3" spans="1:6" x14ac:dyDescent="0.3">
      <c r="B3" s="18"/>
      <c r="C3" s="18"/>
      <c r="D3" s="18"/>
      <c r="E3" s="18"/>
      <c r="F3" s="18"/>
    </row>
    <row r="4" spans="1:6" s="18" customFormat="1" ht="25.5" x14ac:dyDescent="0.5">
      <c r="B4" s="13" t="s">
        <v>3</v>
      </c>
      <c r="C4" s="13"/>
      <c r="D4" s="13"/>
      <c r="E4" s="13"/>
      <c r="F4" s="13"/>
    </row>
    <row r="5" spans="1:6" s="18" customFormat="1" ht="15.95" customHeight="1" x14ac:dyDescent="0.3">
      <c r="B5" s="12" t="s">
        <v>4</v>
      </c>
      <c r="C5" s="12"/>
      <c r="D5" s="12"/>
      <c r="E5" s="12"/>
      <c r="F5" s="12"/>
    </row>
    <row r="6" spans="1:6" s="18" customFormat="1" ht="15.95" customHeight="1" x14ac:dyDescent="0.3">
      <c r="B6" s="11" t="s">
        <v>5</v>
      </c>
      <c r="C6" s="11"/>
      <c r="D6" s="10" t="s">
        <v>6</v>
      </c>
      <c r="E6" s="10"/>
      <c r="F6" s="10"/>
    </row>
    <row r="7" spans="1:6" s="18" customFormat="1" ht="15.75" customHeight="1" x14ac:dyDescent="0.3">
      <c r="B7" s="9" t="s">
        <v>7</v>
      </c>
      <c r="C7" s="9"/>
      <c r="D7" s="8" t="s">
        <v>8</v>
      </c>
      <c r="E7" s="8"/>
      <c r="F7" s="19" t="s">
        <v>9</v>
      </c>
    </row>
    <row r="8" spans="1:6" s="18" customFormat="1" ht="15.75" customHeight="1" x14ac:dyDescent="0.3">
      <c r="B8" s="11" t="s">
        <v>10</v>
      </c>
      <c r="C8" s="11"/>
      <c r="D8" s="7" t="s">
        <v>11</v>
      </c>
      <c r="E8" s="7"/>
      <c r="F8" s="19" t="s">
        <v>12</v>
      </c>
    </row>
    <row r="9" spans="1:6" s="20" customFormat="1" ht="9.75" customHeight="1" x14ac:dyDescent="0.3">
      <c r="C9" s="21"/>
      <c r="D9" s="22"/>
      <c r="E9" s="22"/>
      <c r="F9" s="23"/>
    </row>
    <row r="10" spans="1:6" s="20" customFormat="1" ht="15.75" customHeight="1" x14ac:dyDescent="0.3">
      <c r="B10" s="12" t="s">
        <v>13</v>
      </c>
      <c r="C10" s="12"/>
      <c r="D10" s="12"/>
      <c r="E10" s="12"/>
      <c r="F10" s="12"/>
    </row>
    <row r="11" spans="1:6" s="18" customFormat="1" ht="18" customHeight="1" x14ac:dyDescent="0.3">
      <c r="B11" s="24" t="s">
        <v>14</v>
      </c>
      <c r="C11" s="11" t="s">
        <v>15</v>
      </c>
      <c r="D11" s="11"/>
      <c r="E11" s="11"/>
      <c r="F11" s="25" t="s">
        <v>11</v>
      </c>
    </row>
    <row r="12" spans="1:6" s="18" customFormat="1" ht="15.95" customHeight="1" x14ac:dyDescent="0.15">
      <c r="B12" s="26" t="s">
        <v>16</v>
      </c>
      <c r="C12" s="27" t="s">
        <v>17</v>
      </c>
      <c r="D12" s="6" t="s">
        <v>18</v>
      </c>
      <c r="E12" s="6"/>
      <c r="F12" s="6"/>
    </row>
    <row r="13" spans="1:6" s="18" customFormat="1" ht="15.95" customHeight="1" x14ac:dyDescent="0.3">
      <c r="B13" s="24" t="s">
        <v>19</v>
      </c>
      <c r="C13" s="11" t="s">
        <v>20</v>
      </c>
      <c r="D13" s="11"/>
      <c r="E13" s="11"/>
      <c r="F13" s="28" t="s">
        <v>21</v>
      </c>
    </row>
    <row r="14" spans="1:6" s="18" customFormat="1" ht="18.75" customHeight="1" x14ac:dyDescent="0.3">
      <c r="B14" s="26" t="s">
        <v>22</v>
      </c>
      <c r="C14" s="5" t="s">
        <v>23</v>
      </c>
      <c r="D14" s="5"/>
      <c r="E14" s="5"/>
      <c r="F14" s="19" t="s">
        <v>24</v>
      </c>
    </row>
    <row r="15" spans="1:6" s="18" customFormat="1" ht="15.95" customHeight="1" x14ac:dyDescent="0.3">
      <c r="B15" s="26" t="s">
        <v>25</v>
      </c>
      <c r="C15" s="11" t="s">
        <v>26</v>
      </c>
      <c r="D15" s="11"/>
      <c r="E15" s="11"/>
      <c r="F15" s="30">
        <v>12</v>
      </c>
    </row>
    <row r="16" spans="1:6" s="18" customFormat="1" ht="15.95" customHeight="1" x14ac:dyDescent="0.3">
      <c r="A16" s="20"/>
      <c r="B16" s="20"/>
      <c r="C16" s="21"/>
      <c r="D16" s="22"/>
      <c r="E16" s="22"/>
      <c r="F16" s="23"/>
    </row>
    <row r="17" spans="1:6" s="18" customFormat="1" x14ac:dyDescent="0.3">
      <c r="A17" s="20"/>
      <c r="B17" s="12" t="s">
        <v>27</v>
      </c>
      <c r="C17" s="12"/>
      <c r="D17" s="12"/>
      <c r="E17" s="12"/>
      <c r="F17" s="12"/>
    </row>
    <row r="18" spans="1:6" s="31" customFormat="1" ht="49.5" x14ac:dyDescent="0.2">
      <c r="B18" s="32" t="s">
        <v>28</v>
      </c>
      <c r="C18" s="32" t="s">
        <v>29</v>
      </c>
      <c r="D18" s="33" t="s">
        <v>30</v>
      </c>
      <c r="E18" s="33" t="s">
        <v>31</v>
      </c>
      <c r="F18" s="33" t="s">
        <v>32</v>
      </c>
    </row>
    <row r="19" spans="1:6" s="18" customFormat="1" ht="16.5" customHeight="1" x14ac:dyDescent="0.3">
      <c r="B19" s="24">
        <v>1</v>
      </c>
      <c r="C19" s="34" t="s">
        <v>33</v>
      </c>
      <c r="D19" s="35" t="s">
        <v>34</v>
      </c>
      <c r="E19" s="36">
        <v>1</v>
      </c>
      <c r="F19" s="35">
        <v>1</v>
      </c>
    </row>
    <row r="20" spans="1:6" s="18" customFormat="1" ht="15.95" customHeight="1" x14ac:dyDescent="0.3">
      <c r="B20" s="37"/>
      <c r="C20" s="37"/>
      <c r="D20" s="37"/>
      <c r="E20" s="37"/>
      <c r="F20" s="37"/>
    </row>
    <row r="21" spans="1:6" s="18" customFormat="1" ht="15" customHeight="1" x14ac:dyDescent="0.3">
      <c r="B21" s="12" t="s">
        <v>35</v>
      </c>
      <c r="C21" s="12"/>
      <c r="D21" s="12"/>
      <c r="E21" s="12"/>
      <c r="F21" s="12"/>
    </row>
    <row r="22" spans="1:6" s="18" customFormat="1" ht="15" customHeight="1" x14ac:dyDescent="0.3">
      <c r="A22" s="20"/>
      <c r="B22" s="24">
        <v>1</v>
      </c>
      <c r="C22" s="38" t="s">
        <v>36</v>
      </c>
      <c r="D22" s="10" t="s">
        <v>37</v>
      </c>
      <c r="E22" s="10"/>
      <c r="F22" s="10"/>
    </row>
    <row r="23" spans="1:6" s="18" customFormat="1" ht="15.95" customHeight="1" x14ac:dyDescent="0.3">
      <c r="B23" s="24">
        <v>2</v>
      </c>
      <c r="C23" s="39" t="s">
        <v>38</v>
      </c>
      <c r="D23" s="10" t="s">
        <v>39</v>
      </c>
      <c r="E23" s="10"/>
      <c r="F23" s="10"/>
    </row>
    <row r="24" spans="1:6" s="18" customFormat="1" ht="15.95" customHeight="1" x14ac:dyDescent="0.3">
      <c r="B24" s="24">
        <v>3</v>
      </c>
      <c r="C24" s="11" t="s">
        <v>40</v>
      </c>
      <c r="D24" s="11"/>
      <c r="E24" s="11"/>
      <c r="F24" s="25">
        <v>43466</v>
      </c>
    </row>
    <row r="25" spans="1:6" s="18" customFormat="1" ht="15.95" customHeight="1" x14ac:dyDescent="0.3">
      <c r="B25" s="24">
        <v>4</v>
      </c>
      <c r="C25" s="9" t="s">
        <v>41</v>
      </c>
      <c r="D25" s="9"/>
      <c r="E25" s="9"/>
      <c r="F25" s="40">
        <v>1045</v>
      </c>
    </row>
    <row r="26" spans="1:6" s="18" customFormat="1" x14ac:dyDescent="0.3">
      <c r="B26" s="41"/>
      <c r="C26" s="42"/>
      <c r="D26" s="42"/>
      <c r="E26" s="42"/>
      <c r="F26" s="43"/>
    </row>
    <row r="27" spans="1:6" s="18" customFormat="1" ht="25.5" x14ac:dyDescent="0.5">
      <c r="B27" s="44" t="s">
        <v>42</v>
      </c>
      <c r="C27" s="15"/>
      <c r="D27" s="15"/>
      <c r="E27" s="15"/>
      <c r="F27" s="15"/>
    </row>
    <row r="28" spans="1:6" x14ac:dyDescent="0.3">
      <c r="B28" s="45" t="s">
        <v>43</v>
      </c>
      <c r="E28" s="46"/>
      <c r="F28" s="46"/>
    </row>
    <row r="29" spans="1:6" ht="16.5" customHeight="1" x14ac:dyDescent="0.3">
      <c r="B29" s="26">
        <v>1</v>
      </c>
      <c r="C29" s="4" t="s">
        <v>44</v>
      </c>
      <c r="D29" s="4"/>
      <c r="E29" s="4"/>
      <c r="F29" s="47" t="s">
        <v>45</v>
      </c>
    </row>
    <row r="30" spans="1:6" ht="16.5" customHeight="1" x14ac:dyDescent="0.3">
      <c r="B30" s="26" t="s">
        <v>14</v>
      </c>
      <c r="C30" s="3" t="s">
        <v>46</v>
      </c>
      <c r="D30" s="3"/>
      <c r="E30" s="3"/>
      <c r="F30" s="48">
        <v>1200.68</v>
      </c>
    </row>
    <row r="31" spans="1:6" ht="16.5" customHeight="1" x14ac:dyDescent="0.3">
      <c r="B31" s="26" t="s">
        <v>16</v>
      </c>
      <c r="C31" s="5" t="s">
        <v>47</v>
      </c>
      <c r="D31" s="5"/>
      <c r="E31" s="5"/>
      <c r="F31" s="49"/>
    </row>
    <row r="32" spans="1:6" ht="16.5" customHeight="1" x14ac:dyDescent="0.3">
      <c r="B32" s="26" t="s">
        <v>19</v>
      </c>
      <c r="C32" s="3" t="s">
        <v>48</v>
      </c>
      <c r="D32" s="3"/>
      <c r="E32" s="3"/>
      <c r="F32" s="49"/>
    </row>
    <row r="33" spans="1:6" ht="16.5" customHeight="1" x14ac:dyDescent="0.3">
      <c r="B33" s="26" t="s">
        <v>22</v>
      </c>
      <c r="C33" s="2" t="s">
        <v>49</v>
      </c>
      <c r="D33" s="2"/>
      <c r="E33" s="2"/>
      <c r="F33" s="49"/>
    </row>
    <row r="34" spans="1:6" ht="16.5" customHeight="1" x14ac:dyDescent="0.3">
      <c r="B34" s="26" t="s">
        <v>25</v>
      </c>
      <c r="C34" s="1" t="s">
        <v>50</v>
      </c>
      <c r="D34" s="1"/>
      <c r="E34" s="1"/>
      <c r="F34" s="48"/>
    </row>
    <row r="35" spans="1:6" ht="16.5" customHeight="1" x14ac:dyDescent="0.3">
      <c r="B35" s="26" t="s">
        <v>51</v>
      </c>
      <c r="C35" s="1" t="s">
        <v>52</v>
      </c>
      <c r="D35" s="1"/>
      <c r="E35" s="1"/>
      <c r="F35" s="48"/>
    </row>
    <row r="36" spans="1:6" ht="16.5" customHeight="1" x14ac:dyDescent="0.3">
      <c r="B36" s="26" t="s">
        <v>53</v>
      </c>
      <c r="C36" s="1" t="s">
        <v>54</v>
      </c>
      <c r="D36" s="1"/>
      <c r="E36" s="1"/>
      <c r="F36" s="48"/>
    </row>
    <row r="37" spans="1:6" s="50" customFormat="1" x14ac:dyDescent="0.3"/>
    <row r="38" spans="1:6" s="50" customFormat="1" x14ac:dyDescent="0.3">
      <c r="A38" s="15"/>
      <c r="B38" s="45" t="s">
        <v>55</v>
      </c>
      <c r="C38" s="15"/>
      <c r="D38" s="15"/>
      <c r="E38" s="51"/>
      <c r="F38" s="51"/>
    </row>
    <row r="39" spans="1:6" s="50" customFormat="1" x14ac:dyDescent="0.3">
      <c r="A39" s="15"/>
      <c r="B39" s="45" t="s">
        <v>56</v>
      </c>
      <c r="C39" s="20"/>
      <c r="D39" s="20"/>
      <c r="E39" s="20"/>
      <c r="F39" s="20"/>
    </row>
    <row r="40" spans="1:6" s="50" customFormat="1" ht="15" customHeight="1" x14ac:dyDescent="0.3">
      <c r="A40" s="15"/>
      <c r="B40" s="26" t="s">
        <v>57</v>
      </c>
      <c r="C40" s="4" t="s">
        <v>58</v>
      </c>
      <c r="D40" s="4"/>
      <c r="E40" s="47" t="s">
        <v>59</v>
      </c>
      <c r="F40" s="47" t="s">
        <v>60</v>
      </c>
    </row>
    <row r="41" spans="1:6" s="50" customFormat="1" x14ac:dyDescent="0.3">
      <c r="A41" s="15"/>
      <c r="B41" s="52" t="s">
        <v>14</v>
      </c>
      <c r="C41" s="11" t="s">
        <v>61</v>
      </c>
      <c r="D41" s="11"/>
      <c r="E41" s="30" t="s">
        <v>62</v>
      </c>
      <c r="F41" s="53">
        <v>7.4</v>
      </c>
    </row>
    <row r="42" spans="1:6" s="50" customFormat="1" x14ac:dyDescent="0.3">
      <c r="B42" s="52" t="s">
        <v>16</v>
      </c>
      <c r="C42" s="9" t="s">
        <v>63</v>
      </c>
      <c r="D42" s="9"/>
      <c r="E42" s="54" t="s">
        <v>62</v>
      </c>
      <c r="F42" s="53">
        <v>18.18</v>
      </c>
    </row>
    <row r="43" spans="1:6" s="50" customFormat="1" x14ac:dyDescent="0.3">
      <c r="B43" s="52" t="s">
        <v>19</v>
      </c>
      <c r="C43" s="11" t="s">
        <v>64</v>
      </c>
      <c r="D43" s="11"/>
      <c r="E43" s="30" t="s">
        <v>65</v>
      </c>
      <c r="F43" s="55">
        <v>22</v>
      </c>
    </row>
    <row r="44" spans="1:6" ht="16.5" customHeight="1" x14ac:dyDescent="0.3">
      <c r="B44" s="52" t="s">
        <v>22</v>
      </c>
      <c r="C44" s="1" t="s">
        <v>66</v>
      </c>
      <c r="D44" s="1"/>
      <c r="E44" s="56" t="s">
        <v>65</v>
      </c>
      <c r="F44" s="48">
        <v>15</v>
      </c>
    </row>
    <row r="45" spans="1:6" ht="16.5" customHeight="1" x14ac:dyDescent="0.3">
      <c r="B45" s="52" t="s">
        <v>25</v>
      </c>
      <c r="C45" s="1" t="s">
        <v>67</v>
      </c>
      <c r="D45" s="1"/>
      <c r="E45" s="56"/>
      <c r="F45" s="48"/>
    </row>
    <row r="46" spans="1:6" ht="16.5" customHeight="1" x14ac:dyDescent="0.3">
      <c r="B46" s="52" t="s">
        <v>51</v>
      </c>
      <c r="C46" s="1" t="s">
        <v>68</v>
      </c>
      <c r="D46" s="1"/>
      <c r="E46" s="56"/>
      <c r="F46" s="48"/>
    </row>
    <row r="47" spans="1:6" s="50" customFormat="1" x14ac:dyDescent="0.3"/>
    <row r="48" spans="1:6" s="18" customFormat="1" x14ac:dyDescent="0.3">
      <c r="B48" s="45" t="s">
        <v>69</v>
      </c>
      <c r="C48" s="57"/>
      <c r="D48" s="58"/>
      <c r="E48" s="15"/>
      <c r="F48" s="15"/>
    </row>
    <row r="49" spans="1:6" s="18" customFormat="1" ht="15" customHeight="1" x14ac:dyDescent="0.3">
      <c r="B49" s="45" t="s">
        <v>70</v>
      </c>
      <c r="C49" s="57"/>
      <c r="D49" s="58"/>
      <c r="E49" s="59"/>
      <c r="F49" s="59"/>
    </row>
    <row r="50" spans="1:6" ht="16.5" customHeight="1" x14ac:dyDescent="0.3">
      <c r="A50" s="18"/>
      <c r="B50" s="26" t="s">
        <v>71</v>
      </c>
      <c r="C50" s="4" t="s">
        <v>72</v>
      </c>
      <c r="D50" s="4"/>
      <c r="E50" s="4"/>
      <c r="F50" s="47" t="s">
        <v>73</v>
      </c>
    </row>
    <row r="51" spans="1:6" s="50" customFormat="1" ht="16.5" customHeight="1" x14ac:dyDescent="0.3">
      <c r="B51" s="47" t="s">
        <v>14</v>
      </c>
      <c r="C51" s="117" t="s">
        <v>74</v>
      </c>
      <c r="D51" s="117"/>
      <c r="E51" s="117"/>
      <c r="F51" s="53"/>
    </row>
    <row r="52" spans="1:6" x14ac:dyDescent="0.3">
      <c r="B52" s="50"/>
      <c r="C52" s="50"/>
      <c r="D52" s="50"/>
      <c r="E52" s="50"/>
      <c r="F52" s="50"/>
    </row>
    <row r="53" spans="1:6" x14ac:dyDescent="0.3">
      <c r="B53" s="45" t="s">
        <v>75</v>
      </c>
      <c r="C53" s="57"/>
      <c r="D53" s="58"/>
      <c r="E53" s="59"/>
      <c r="F53" s="59"/>
    </row>
    <row r="54" spans="1:6" x14ac:dyDescent="0.3">
      <c r="B54" s="26" t="s">
        <v>76</v>
      </c>
      <c r="C54" s="118" t="s">
        <v>77</v>
      </c>
      <c r="D54" s="118"/>
      <c r="E54" s="118"/>
      <c r="F54" s="47" t="s">
        <v>78</v>
      </c>
    </row>
    <row r="55" spans="1:6" ht="15" customHeight="1" x14ac:dyDescent="0.3">
      <c r="B55" s="26" t="s">
        <v>14</v>
      </c>
      <c r="C55" s="3" t="s">
        <v>79</v>
      </c>
      <c r="D55" s="3"/>
      <c r="E55" s="3"/>
      <c r="F55" s="49"/>
    </row>
    <row r="56" spans="1:6" s="50" customFormat="1" ht="16.5" customHeight="1" x14ac:dyDescent="0.3">
      <c r="B56" s="26" t="s">
        <v>16</v>
      </c>
      <c r="C56" s="5" t="s">
        <v>80</v>
      </c>
      <c r="D56" s="5"/>
      <c r="E56" s="5"/>
      <c r="F56" s="49"/>
    </row>
    <row r="57" spans="1:6" x14ac:dyDescent="0.3">
      <c r="B57" s="50"/>
      <c r="C57" s="50"/>
      <c r="D57" s="50"/>
      <c r="E57" s="50"/>
      <c r="F57" s="50"/>
    </row>
    <row r="58" spans="1:6" ht="15.75" customHeight="1" x14ac:dyDescent="0.3">
      <c r="B58" s="45" t="s">
        <v>81</v>
      </c>
      <c r="C58" s="57"/>
      <c r="D58" s="57"/>
      <c r="E58" s="59"/>
      <c r="F58" s="59"/>
    </row>
    <row r="59" spans="1:6" ht="16.5" customHeight="1" x14ac:dyDescent="0.3">
      <c r="B59" s="60">
        <v>5</v>
      </c>
      <c r="C59" s="119" t="s">
        <v>82</v>
      </c>
      <c r="D59" s="119"/>
      <c r="E59" s="119"/>
      <c r="F59" s="61" t="s">
        <v>83</v>
      </c>
    </row>
    <row r="60" spans="1:6" ht="16.5" customHeight="1" x14ac:dyDescent="0.3">
      <c r="B60" s="62" t="s">
        <v>14</v>
      </c>
      <c r="C60" s="120" t="s">
        <v>84</v>
      </c>
      <c r="D60" s="120"/>
      <c r="E60" s="120"/>
      <c r="F60" s="63">
        <v>43.246000000000002</v>
      </c>
    </row>
    <row r="61" spans="1:6" s="64" customFormat="1" ht="16.5" customHeight="1" x14ac:dyDescent="0.3">
      <c r="A61" s="15"/>
      <c r="B61" s="62" t="s">
        <v>16</v>
      </c>
      <c r="C61" s="121" t="s">
        <v>85</v>
      </c>
      <c r="D61" s="121"/>
      <c r="E61" s="121"/>
      <c r="F61" s="63">
        <v>181.215</v>
      </c>
    </row>
    <row r="62" spans="1:6" s="64" customFormat="1" ht="16.5" customHeight="1" x14ac:dyDescent="0.3">
      <c r="A62" s="15"/>
      <c r="B62" s="62" t="s">
        <v>19</v>
      </c>
      <c r="C62" s="120" t="s">
        <v>86</v>
      </c>
      <c r="D62" s="120"/>
      <c r="E62" s="120"/>
      <c r="F62" s="63"/>
    </row>
    <row r="63" spans="1:6" s="50" customFormat="1" ht="16.5" customHeight="1" x14ac:dyDescent="0.3">
      <c r="B63" s="62" t="s">
        <v>22</v>
      </c>
      <c r="C63" s="1" t="s">
        <v>87</v>
      </c>
      <c r="D63" s="1"/>
      <c r="E63" s="1"/>
      <c r="F63" s="48"/>
    </row>
    <row r="64" spans="1:6" s="65" customFormat="1" ht="16.5" customHeight="1" x14ac:dyDescent="0.3">
      <c r="A64" s="15"/>
      <c r="B64" s="50"/>
      <c r="C64" s="50"/>
      <c r="D64" s="50"/>
      <c r="E64" s="50"/>
      <c r="F64" s="50"/>
    </row>
    <row r="65" spans="1:6" s="66" customFormat="1" ht="16.5" customHeight="1" x14ac:dyDescent="0.3">
      <c r="A65" s="15"/>
      <c r="B65" s="122" t="s">
        <v>88</v>
      </c>
      <c r="C65" s="122"/>
      <c r="D65" s="122"/>
      <c r="E65" s="122"/>
      <c r="F65" s="122"/>
    </row>
    <row r="66" spans="1:6" s="66" customFormat="1" x14ac:dyDescent="0.3">
      <c r="A66" s="64"/>
      <c r="B66" s="26">
        <v>6</v>
      </c>
      <c r="C66" s="118" t="s">
        <v>89</v>
      </c>
      <c r="D66" s="118"/>
      <c r="E66" s="118"/>
      <c r="F66" s="47" t="s">
        <v>73</v>
      </c>
    </row>
    <row r="67" spans="1:6" s="66" customFormat="1" ht="16.5" customHeight="1" x14ac:dyDescent="0.3">
      <c r="A67" s="64"/>
      <c r="B67" s="26" t="s">
        <v>14</v>
      </c>
      <c r="C67" s="123" t="s">
        <v>90</v>
      </c>
      <c r="D67" s="123"/>
      <c r="E67" s="123"/>
      <c r="F67" s="67">
        <v>4.7300000000000004</v>
      </c>
    </row>
    <row r="68" spans="1:6" s="66" customFormat="1" ht="16.5" customHeight="1" x14ac:dyDescent="0.3">
      <c r="A68" s="65"/>
      <c r="B68" s="47" t="s">
        <v>16</v>
      </c>
      <c r="C68" s="5" t="s">
        <v>91</v>
      </c>
      <c r="D68" s="5"/>
      <c r="E68" s="5"/>
      <c r="F68" s="67">
        <v>5.57</v>
      </c>
    </row>
    <row r="69" spans="1:6" ht="16.5" customHeight="1" x14ac:dyDescent="0.3">
      <c r="B69" s="68" t="s">
        <v>92</v>
      </c>
      <c r="C69" s="123" t="s">
        <v>93</v>
      </c>
      <c r="D69" s="123"/>
      <c r="E69" s="123">
        <f>PERC_PIS</f>
        <v>0.65</v>
      </c>
      <c r="F69" s="67">
        <v>0.65</v>
      </c>
    </row>
    <row r="70" spans="1:6" ht="16.5" customHeight="1" x14ac:dyDescent="0.3">
      <c r="B70" s="68" t="s">
        <v>94</v>
      </c>
      <c r="C70" s="5" t="s">
        <v>95</v>
      </c>
      <c r="D70" s="5"/>
      <c r="E70" s="5">
        <f>PERC_COFINS</f>
        <v>3</v>
      </c>
      <c r="F70" s="67">
        <v>3</v>
      </c>
    </row>
    <row r="71" spans="1:6" s="50" customFormat="1" ht="16.5" customHeight="1" x14ac:dyDescent="0.3">
      <c r="B71" s="68" t="s">
        <v>96</v>
      </c>
      <c r="C71" s="123" t="s">
        <v>97</v>
      </c>
      <c r="D71" s="123"/>
      <c r="E71" s="123">
        <f>PERC_ISS</f>
        <v>5</v>
      </c>
      <c r="F71" s="67">
        <v>5</v>
      </c>
    </row>
    <row r="72" spans="1:6" x14ac:dyDescent="0.3">
      <c r="B72" s="50"/>
      <c r="C72" s="50"/>
      <c r="D72" s="50"/>
      <c r="E72" s="50"/>
      <c r="F72" s="50"/>
    </row>
    <row r="73" spans="1:6" ht="33.75" customHeight="1" x14ac:dyDescent="0.3">
      <c r="B73" s="69" t="s">
        <v>98</v>
      </c>
      <c r="C73" s="70"/>
      <c r="D73" s="70"/>
      <c r="E73" s="70"/>
      <c r="F73" s="71"/>
    </row>
    <row r="74" spans="1:6" ht="32.25" customHeight="1" x14ac:dyDescent="0.3">
      <c r="B74" s="124" t="s">
        <v>99</v>
      </c>
      <c r="C74" s="124"/>
      <c r="D74" s="124"/>
      <c r="E74" s="124"/>
      <c r="F74" s="124"/>
    </row>
  </sheetData>
  <sheetProtection sheet="1" objects="1" scenarios="1"/>
  <mergeCells count="55">
    <mergeCell ref="C69:E69"/>
    <mergeCell ref="C70:E70"/>
    <mergeCell ref="C71:E71"/>
    <mergeCell ref="B74:F74"/>
    <mergeCell ref="C63:E63"/>
    <mergeCell ref="B65:F65"/>
    <mergeCell ref="C66:E66"/>
    <mergeCell ref="C67:E67"/>
    <mergeCell ref="C68:E68"/>
    <mergeCell ref="C56:E56"/>
    <mergeCell ref="C59:E59"/>
    <mergeCell ref="C60:E60"/>
    <mergeCell ref="C61:E61"/>
    <mergeCell ref="C62:E62"/>
    <mergeCell ref="C46:D46"/>
    <mergeCell ref="C50:E50"/>
    <mergeCell ref="C51:E51"/>
    <mergeCell ref="C54:E54"/>
    <mergeCell ref="C55:E55"/>
    <mergeCell ref="C41:D41"/>
    <mergeCell ref="C42:D42"/>
    <mergeCell ref="C43:D43"/>
    <mergeCell ref="C44:D44"/>
    <mergeCell ref="C45:D45"/>
    <mergeCell ref="C33:E33"/>
    <mergeCell ref="C34:E34"/>
    <mergeCell ref="C35:E35"/>
    <mergeCell ref="C36:E36"/>
    <mergeCell ref="C40:D40"/>
    <mergeCell ref="C25:E25"/>
    <mergeCell ref="C29:E29"/>
    <mergeCell ref="C30:E30"/>
    <mergeCell ref="C31:E31"/>
    <mergeCell ref="C32:E32"/>
    <mergeCell ref="B17:F17"/>
    <mergeCell ref="B21:F21"/>
    <mergeCell ref="D22:F22"/>
    <mergeCell ref="D23:F23"/>
    <mergeCell ref="C24:E24"/>
    <mergeCell ref="C11:E11"/>
    <mergeCell ref="D12:F12"/>
    <mergeCell ref="C13:E13"/>
    <mergeCell ref="C14:E14"/>
    <mergeCell ref="C15:E15"/>
    <mergeCell ref="B7:C7"/>
    <mergeCell ref="D7:E7"/>
    <mergeCell ref="B8:C8"/>
    <mergeCell ref="D8:E8"/>
    <mergeCell ref="B10:F10"/>
    <mergeCell ref="B1:F1"/>
    <mergeCell ref="B2:D2"/>
    <mergeCell ref="B4:F4"/>
    <mergeCell ref="B5:F5"/>
    <mergeCell ref="B6:C6"/>
    <mergeCell ref="D6:F6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>
      <formula1>2</formula1>
      <formula2>5</formula2>
    </dataValidation>
    <dataValidation type="whole" operator="equal" allowBlank="1" showInputMessage="1" showErrorMessage="1" errorTitle="Atentar para o percentual." error="Tem certeza que o percentual do Cofins é diferente de 3%, previsto no art. 31 da Lei nº 10.833/2003?" sqref="F70">
      <formula1>3</formula1>
      <formula2>0</formula2>
    </dataValidation>
    <dataValidation type="decimal" operator="equal" allowBlank="1" showInputMessage="1" showErrorMessage="1" errorTitle="Atentar para o percentual." error="Tem certeza que o percentual do PIS é diferente de 0,65%, previsto no art. 31 da Lei nº 10.833/2003?" sqref="F69">
      <formula1>0.65</formula1>
      <formula2>0</formula2>
    </dataValidation>
    <dataValidation type="decimal" allowBlank="1" showInputMessage="1" showErrorMessage="1" errorTitle="Erro na inserção de dados." error="O percentual recomendado de lucro é de 5,57%, conforme estudos realizados pela Auditoria Interna do MPU." sqref="F68">
      <formula1>0</formula1>
      <formula2>5.57</formula2>
    </dataValidation>
    <dataValidation type="decimal" allowBlank="1" showInputMessage="1" showErrorMessage="1" errorTitle="Erro na inserção de dados." error="O percentual recomendado de custos indiretos é de 4,73%, conforme estudos realizados pela Auditoria Interna do MPU." sqref="F67">
      <formula1>0</formula1>
      <formula2>4.73</formula2>
    </dataValidation>
    <dataValidation type="decimal" operator="greaterThanOrEqual" allowBlank="1" showInputMessage="1" showErrorMessage="1" errorTitle="Atentar para o valor do salário." error="Tem certeza que o valor do salário-base é menor do que o salário mínimo vigente no país?" sqref="F30">
      <formula1>F25</formula1>
      <formula2>0</formula2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>
      <formula1>"0,10,20,40"</formula1>
      <formula2>0</formula2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>
      <formula1>"15,22"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>
      <formula1>0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>
      <formula1>0</formula1>
      <formula2>0</formula2>
    </dataValidation>
    <dataValidation type="list" allowBlank="1" showInputMessage="1" showErrorMessage="1" sqref="F13">
      <formula1>"AC,AL,AP,AM,BA,CE,DF,ES,GO,MA,MG,MS,MT,PA,PB,PR,PE,PI,RJ,RN,RO,RR,RS,SC,SP,SE,TO"</formula1>
      <formula2>0</formula2>
    </dataValidation>
  </dataValidations>
  <pageMargins left="0.17013888888888901" right="0.17013888888888901" top="0.45972222222222198" bottom="0.32986111111111099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3"/>
  <sheetViews>
    <sheetView zoomScaleNormal="100" workbookViewId="0">
      <selection activeCell="F11" sqref="F11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9.5703125" style="15" customWidth="1"/>
    <col min="5" max="5" width="13.5703125" style="15" customWidth="1"/>
    <col min="6" max="6" width="15.42578125" style="15" customWidth="1"/>
    <col min="7" max="1025" width="9.140625" style="15" customWidth="1"/>
  </cols>
  <sheetData>
    <row r="1" spans="1:6" s="18" customFormat="1" ht="25.5" x14ac:dyDescent="0.5">
      <c r="B1" s="44" t="s">
        <v>100</v>
      </c>
      <c r="C1" s="15"/>
      <c r="D1" s="15"/>
      <c r="E1" s="15"/>
      <c r="F1" s="15"/>
    </row>
    <row r="2" spans="1:6" x14ac:dyDescent="0.3">
      <c r="B2" s="45" t="s">
        <v>43</v>
      </c>
      <c r="E2" s="46"/>
      <c r="F2" s="46"/>
    </row>
    <row r="3" spans="1:6" ht="33" customHeight="1" x14ac:dyDescent="0.3">
      <c r="B3" s="26">
        <v>1</v>
      </c>
      <c r="C3" s="4" t="s">
        <v>44</v>
      </c>
      <c r="D3" s="4"/>
      <c r="E3" s="4"/>
      <c r="F3" s="47" t="s">
        <v>101</v>
      </c>
    </row>
    <row r="4" spans="1:6" ht="16.5" customHeight="1" x14ac:dyDescent="0.3">
      <c r="B4" s="26" t="s">
        <v>25</v>
      </c>
      <c r="C4" s="123" t="s">
        <v>102</v>
      </c>
      <c r="D4" s="123"/>
      <c r="E4" s="123"/>
      <c r="F4" s="72">
        <v>220</v>
      </c>
    </row>
    <row r="5" spans="1:6" ht="16.5" customHeight="1" x14ac:dyDescent="0.3">
      <c r="B5" s="26" t="s">
        <v>51</v>
      </c>
      <c r="C5" s="2" t="s">
        <v>103</v>
      </c>
      <c r="D5" s="2"/>
      <c r="E5" s="2"/>
      <c r="F5" s="73">
        <v>7</v>
      </c>
    </row>
    <row r="6" spans="1:6" ht="16.5" customHeight="1" x14ac:dyDescent="0.3">
      <c r="B6" s="26" t="s">
        <v>53</v>
      </c>
      <c r="C6" s="123" t="s">
        <v>104</v>
      </c>
      <c r="D6" s="123"/>
      <c r="E6" s="123"/>
      <c r="F6" s="72">
        <v>365</v>
      </c>
    </row>
    <row r="7" spans="1:6" ht="16.5" customHeight="1" x14ac:dyDescent="0.3">
      <c r="B7" s="26" t="s">
        <v>105</v>
      </c>
      <c r="C7" s="2" t="s">
        <v>106</v>
      </c>
      <c r="D7" s="2"/>
      <c r="E7" s="2"/>
      <c r="F7" s="74">
        <v>15.2</v>
      </c>
    </row>
    <row r="8" spans="1:6" ht="16.5" customHeight="1" x14ac:dyDescent="0.3">
      <c r="B8" s="26" t="s">
        <v>107</v>
      </c>
      <c r="C8" s="123" t="s">
        <v>108</v>
      </c>
      <c r="D8" s="123"/>
      <c r="E8" s="123"/>
      <c r="F8" s="72">
        <v>12</v>
      </c>
    </row>
    <row r="9" spans="1:6" ht="16.5" customHeight="1" x14ac:dyDescent="0.3">
      <c r="B9" s="26" t="s">
        <v>109</v>
      </c>
      <c r="C9" s="2" t="s">
        <v>110</v>
      </c>
      <c r="D9" s="2"/>
      <c r="E9" s="2"/>
      <c r="F9" s="73">
        <v>60</v>
      </c>
    </row>
    <row r="10" spans="1:6" s="76" customFormat="1" ht="16.5" customHeight="1" x14ac:dyDescent="0.3">
      <c r="A10" s="15"/>
      <c r="B10" s="26" t="s">
        <v>111</v>
      </c>
      <c r="C10" s="123" t="s">
        <v>112</v>
      </c>
      <c r="D10" s="123"/>
      <c r="E10" s="123"/>
      <c r="F10" s="75">
        <v>52.5</v>
      </c>
    </row>
    <row r="11" spans="1:6" s="50" customFormat="1" x14ac:dyDescent="0.3"/>
    <row r="12" spans="1:6" s="50" customFormat="1" x14ac:dyDescent="0.3">
      <c r="A12" s="15"/>
      <c r="B12" s="45" t="s">
        <v>56</v>
      </c>
      <c r="C12" s="20"/>
      <c r="D12" s="20"/>
      <c r="E12" s="20"/>
      <c r="F12" s="20"/>
    </row>
    <row r="13" spans="1:6" s="50" customFormat="1" ht="15" customHeight="1" x14ac:dyDescent="0.3">
      <c r="A13" s="15"/>
      <c r="B13" s="26" t="s">
        <v>57</v>
      </c>
      <c r="C13" s="4" t="s">
        <v>58</v>
      </c>
      <c r="D13" s="4"/>
      <c r="E13" s="47" t="s">
        <v>59</v>
      </c>
      <c r="F13" s="47" t="s">
        <v>73</v>
      </c>
    </row>
    <row r="14" spans="1:6" s="50" customFormat="1" x14ac:dyDescent="0.3">
      <c r="B14" s="52" t="s">
        <v>19</v>
      </c>
      <c r="C14" s="9" t="s">
        <v>113</v>
      </c>
      <c r="D14" s="9"/>
      <c r="E14" s="54" t="s">
        <v>65</v>
      </c>
      <c r="F14" s="77">
        <v>6</v>
      </c>
    </row>
    <row r="15" spans="1:6" s="50" customFormat="1" x14ac:dyDescent="0.3"/>
    <row r="16" spans="1:6" s="18" customFormat="1" x14ac:dyDescent="0.3">
      <c r="A16" s="50"/>
      <c r="B16" s="45" t="s">
        <v>114</v>
      </c>
      <c r="C16" s="57"/>
      <c r="D16" s="58"/>
      <c r="E16" s="59"/>
      <c r="F16" s="59"/>
    </row>
    <row r="17" spans="1:6" s="18" customFormat="1" x14ac:dyDescent="0.3">
      <c r="A17" s="50"/>
      <c r="B17" s="26">
        <v>3</v>
      </c>
      <c r="C17" s="118" t="s">
        <v>115</v>
      </c>
      <c r="D17" s="118"/>
      <c r="E17" s="118"/>
      <c r="F17" s="47" t="s">
        <v>116</v>
      </c>
    </row>
    <row r="18" spans="1:6" s="18" customFormat="1" ht="16.5" customHeight="1" x14ac:dyDescent="0.3">
      <c r="A18" s="50"/>
      <c r="B18" s="26" t="s">
        <v>14</v>
      </c>
      <c r="C18" s="123" t="s">
        <v>117</v>
      </c>
      <c r="D18" s="123"/>
      <c r="E18" s="123"/>
      <c r="F18" s="78">
        <v>62.93</v>
      </c>
    </row>
    <row r="19" spans="1:6" x14ac:dyDescent="0.3">
      <c r="A19" s="50"/>
      <c r="B19" s="47" t="s">
        <v>16</v>
      </c>
      <c r="C19" s="125" t="s">
        <v>118</v>
      </c>
      <c r="D19" s="125"/>
      <c r="E19" s="125"/>
      <c r="F19" s="79">
        <v>5.55</v>
      </c>
    </row>
    <row r="20" spans="1:6" s="18" customFormat="1" ht="15.95" customHeight="1" x14ac:dyDescent="0.15">
      <c r="B20" s="47" t="s">
        <v>19</v>
      </c>
      <c r="C20" s="123" t="s">
        <v>119</v>
      </c>
      <c r="D20" s="123"/>
      <c r="E20" s="123"/>
      <c r="F20" s="80">
        <v>40</v>
      </c>
    </row>
    <row r="21" spans="1:6" s="18" customFormat="1" ht="15.95" customHeight="1" x14ac:dyDescent="0.3">
      <c r="A21" s="50"/>
      <c r="B21" s="47" t="s">
        <v>22</v>
      </c>
      <c r="C21" s="125" t="s">
        <v>120</v>
      </c>
      <c r="D21" s="125"/>
      <c r="E21" s="125"/>
      <c r="F21" s="77">
        <v>10</v>
      </c>
    </row>
    <row r="22" spans="1:6" ht="16.5" customHeight="1" x14ac:dyDescent="0.3">
      <c r="A22" s="50"/>
      <c r="B22" s="47" t="s">
        <v>25</v>
      </c>
      <c r="C22" s="123" t="s">
        <v>121</v>
      </c>
      <c r="D22" s="123"/>
      <c r="E22" s="123"/>
      <c r="F22" s="78">
        <v>94.45</v>
      </c>
    </row>
    <row r="23" spans="1:6" x14ac:dyDescent="0.3">
      <c r="A23" s="50"/>
      <c r="B23" s="47" t="s">
        <v>51</v>
      </c>
      <c r="C23" s="125" t="s">
        <v>122</v>
      </c>
      <c r="D23" s="125"/>
      <c r="E23" s="125"/>
      <c r="F23" s="77">
        <v>30</v>
      </c>
    </row>
    <row r="24" spans="1:6" s="50" customFormat="1" x14ac:dyDescent="0.3"/>
    <row r="25" spans="1:6" s="18" customFormat="1" x14ac:dyDescent="0.3">
      <c r="B25" s="45" t="s">
        <v>69</v>
      </c>
      <c r="C25" s="57"/>
      <c r="D25" s="58"/>
      <c r="E25" s="15"/>
      <c r="F25" s="15"/>
    </row>
    <row r="26" spans="1:6" s="18" customFormat="1" ht="15" customHeight="1" x14ac:dyDescent="0.3">
      <c r="B26" s="45" t="s">
        <v>70</v>
      </c>
      <c r="C26" s="57"/>
      <c r="D26" s="58"/>
      <c r="E26" s="59"/>
      <c r="F26" s="59"/>
    </row>
    <row r="27" spans="1:6" s="18" customFormat="1" ht="16.5" customHeight="1" x14ac:dyDescent="0.15">
      <c r="B27" s="26" t="s">
        <v>71</v>
      </c>
      <c r="C27" s="4" t="s">
        <v>72</v>
      </c>
      <c r="D27" s="4"/>
      <c r="E27" s="4"/>
      <c r="F27" s="47" t="s">
        <v>116</v>
      </c>
    </row>
    <row r="28" spans="1:6" s="18" customFormat="1" ht="16.5" customHeight="1" x14ac:dyDescent="0.15">
      <c r="B28" s="26" t="s">
        <v>14</v>
      </c>
      <c r="C28" s="123" t="s">
        <v>123</v>
      </c>
      <c r="D28" s="123"/>
      <c r="E28" s="123"/>
      <c r="F28" s="80">
        <v>8</v>
      </c>
    </row>
    <row r="29" spans="1:6" ht="16.5" customHeight="1" x14ac:dyDescent="0.3">
      <c r="A29" s="18"/>
      <c r="B29" s="47" t="s">
        <v>16</v>
      </c>
      <c r="C29" s="5" t="s">
        <v>124</v>
      </c>
      <c r="D29" s="5"/>
      <c r="E29" s="5"/>
      <c r="F29" s="77">
        <v>20</v>
      </c>
    </row>
    <row r="30" spans="1:6" ht="16.5" customHeight="1" x14ac:dyDescent="0.3">
      <c r="A30" s="18"/>
      <c r="B30" s="47" t="s">
        <v>19</v>
      </c>
      <c r="C30" s="123" t="s">
        <v>125</v>
      </c>
      <c r="D30" s="123"/>
      <c r="E30" s="123"/>
      <c r="F30" s="78">
        <v>1.42</v>
      </c>
    </row>
    <row r="31" spans="1:6" ht="16.5" customHeight="1" x14ac:dyDescent="0.3">
      <c r="A31" s="18"/>
      <c r="B31" s="47" t="s">
        <v>22</v>
      </c>
      <c r="C31" s="5" t="s">
        <v>126</v>
      </c>
      <c r="D31" s="5"/>
      <c r="E31" s="5"/>
      <c r="F31" s="79">
        <v>45.22</v>
      </c>
    </row>
    <row r="32" spans="1:6" s="18" customFormat="1" ht="15.95" customHeight="1" x14ac:dyDescent="0.3">
      <c r="A32" s="15"/>
      <c r="B32" s="47" t="s">
        <v>25</v>
      </c>
      <c r="C32" s="123" t="s">
        <v>127</v>
      </c>
      <c r="D32" s="123"/>
      <c r="E32" s="123"/>
      <c r="F32" s="78">
        <f>(154800/34808000)*100</f>
        <v>0.44472535049413925</v>
      </c>
    </row>
    <row r="33" spans="1:6" ht="15.75" customHeight="1" x14ac:dyDescent="0.3">
      <c r="A33" s="18"/>
      <c r="B33" s="47" t="s">
        <v>51</v>
      </c>
      <c r="C33" s="5" t="s">
        <v>128</v>
      </c>
      <c r="D33" s="5"/>
      <c r="E33" s="5"/>
      <c r="F33" s="77">
        <v>15</v>
      </c>
    </row>
    <row r="34" spans="1:6" ht="15.75" customHeight="1" x14ac:dyDescent="0.3">
      <c r="A34" s="18"/>
      <c r="B34" s="47" t="s">
        <v>53</v>
      </c>
      <c r="C34" s="123" t="s">
        <v>129</v>
      </c>
      <c r="D34" s="123"/>
      <c r="E34" s="123"/>
      <c r="F34" s="80">
        <v>180</v>
      </c>
    </row>
    <row r="35" spans="1:6" ht="16.5" customHeight="1" x14ac:dyDescent="0.3">
      <c r="A35" s="18"/>
      <c r="B35" s="47" t="s">
        <v>130</v>
      </c>
      <c r="C35" s="5" t="s">
        <v>131</v>
      </c>
      <c r="D35" s="5"/>
      <c r="E35" s="5"/>
      <c r="F35" s="79">
        <v>54.78</v>
      </c>
    </row>
    <row r="36" spans="1:6" s="50" customFormat="1" ht="8.25" customHeight="1" x14ac:dyDescent="0.3"/>
    <row r="37" spans="1:6" x14ac:dyDescent="0.3">
      <c r="B37" s="45" t="s">
        <v>132</v>
      </c>
      <c r="C37" s="57"/>
      <c r="D37" s="58"/>
      <c r="E37" s="59"/>
      <c r="F37" s="59"/>
    </row>
    <row r="38" spans="1:6" x14ac:dyDescent="0.3">
      <c r="B38" s="26" t="s">
        <v>76</v>
      </c>
      <c r="C38" s="118" t="s">
        <v>133</v>
      </c>
      <c r="D38" s="118"/>
      <c r="E38" s="118"/>
      <c r="F38" s="47" t="s">
        <v>134</v>
      </c>
    </row>
    <row r="39" spans="1:6" ht="16.5" customHeight="1" x14ac:dyDescent="0.3">
      <c r="B39" s="26" t="s">
        <v>14</v>
      </c>
      <c r="C39" s="3" t="s">
        <v>79</v>
      </c>
      <c r="D39" s="3"/>
      <c r="E39" s="3"/>
      <c r="F39" s="72">
        <f>PERC_HORA_EXTRA</f>
        <v>0</v>
      </c>
    </row>
    <row r="40" spans="1:6" ht="15" customHeight="1" x14ac:dyDescent="0.3">
      <c r="B40" s="26" t="s">
        <v>16</v>
      </c>
      <c r="C40" s="5" t="s">
        <v>80</v>
      </c>
      <c r="D40" s="5"/>
      <c r="E40" s="5"/>
      <c r="F40" s="73">
        <f>TEMPO_INTERVALO_REFEICAO</f>
        <v>0</v>
      </c>
    </row>
    <row r="41" spans="1:6" s="50" customFormat="1" x14ac:dyDescent="0.3"/>
    <row r="42" spans="1:6" ht="20.25" x14ac:dyDescent="0.3">
      <c r="B42" s="69" t="s">
        <v>98</v>
      </c>
      <c r="C42" s="70"/>
      <c r="D42" s="70"/>
      <c r="E42" s="70"/>
      <c r="F42" s="71"/>
    </row>
    <row r="43" spans="1:6" ht="33.75" customHeight="1" x14ac:dyDescent="0.3">
      <c r="B43" s="124" t="s">
        <v>99</v>
      </c>
      <c r="C43" s="124"/>
      <c r="D43" s="124"/>
      <c r="E43" s="124"/>
      <c r="F43" s="124"/>
    </row>
  </sheetData>
  <sheetProtection sheet="1" objects="1" scenarios="1"/>
  <mergeCells count="30">
    <mergeCell ref="C35:E35"/>
    <mergeCell ref="C38:E38"/>
    <mergeCell ref="C39:E39"/>
    <mergeCell ref="C40:E40"/>
    <mergeCell ref="B43:F43"/>
    <mergeCell ref="C30:E30"/>
    <mergeCell ref="C31:E31"/>
    <mergeCell ref="C32:E32"/>
    <mergeCell ref="C33:E33"/>
    <mergeCell ref="C34:E34"/>
    <mergeCell ref="C22:E22"/>
    <mergeCell ref="C23:E23"/>
    <mergeCell ref="C27:E27"/>
    <mergeCell ref="C28:E28"/>
    <mergeCell ref="C29:E29"/>
    <mergeCell ref="C17:E17"/>
    <mergeCell ref="C18:E18"/>
    <mergeCell ref="C19:E19"/>
    <mergeCell ref="C20:E20"/>
    <mergeCell ref="C21:E21"/>
    <mergeCell ref="C8:E8"/>
    <mergeCell ref="C9:E9"/>
    <mergeCell ref="C10:E10"/>
    <mergeCell ref="C13:D13"/>
    <mergeCell ref="C14:D14"/>
    <mergeCell ref="C3:E3"/>
    <mergeCell ref="C4:E4"/>
    <mergeCell ref="C5:E5"/>
    <mergeCell ref="C6:E6"/>
    <mergeCell ref="C7:E7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9:F40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7"/>
  <sheetViews>
    <sheetView zoomScaleNormal="100" workbookViewId="0">
      <selection activeCell="B1" sqref="B1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22" style="15" customWidth="1"/>
    <col min="5" max="5" width="13.5703125" style="15" customWidth="1"/>
    <col min="6" max="6" width="43.85546875" style="15" customWidth="1"/>
    <col min="7" max="7" width="51.7109375" style="15" customWidth="1"/>
    <col min="8" max="1025" width="9.140625" style="15" customWidth="1"/>
  </cols>
  <sheetData>
    <row r="1" spans="2:7" s="18" customFormat="1" ht="25.5" x14ac:dyDescent="0.5">
      <c r="B1" s="44" t="s">
        <v>135</v>
      </c>
      <c r="C1" s="15"/>
      <c r="D1" s="15"/>
      <c r="E1" s="15"/>
      <c r="F1" s="15"/>
      <c r="G1" s="15"/>
    </row>
    <row r="2" spans="2:7" x14ac:dyDescent="0.3">
      <c r="B2" s="45" t="s">
        <v>55</v>
      </c>
      <c r="E2" s="51"/>
    </row>
    <row r="3" spans="2:7" x14ac:dyDescent="0.3">
      <c r="B3" s="45" t="s">
        <v>136</v>
      </c>
      <c r="C3" s="57"/>
      <c r="D3" s="58"/>
      <c r="E3" s="59"/>
    </row>
    <row r="4" spans="2:7" x14ac:dyDescent="0.3">
      <c r="B4" s="26" t="s">
        <v>137</v>
      </c>
      <c r="C4" s="118" t="s">
        <v>138</v>
      </c>
      <c r="D4" s="118"/>
      <c r="E4" s="47" t="s">
        <v>73</v>
      </c>
      <c r="F4" s="47" t="s">
        <v>139</v>
      </c>
    </row>
    <row r="5" spans="2:7" ht="16.5" customHeight="1" x14ac:dyDescent="0.3">
      <c r="B5" s="26" t="s">
        <v>14</v>
      </c>
      <c r="C5" s="123" t="s">
        <v>140</v>
      </c>
      <c r="D5" s="123"/>
      <c r="E5" s="81">
        <f>(1/MESES_NO_ANO)*100</f>
        <v>8.3333333333333321</v>
      </c>
      <c r="F5" s="81" t="s">
        <v>141</v>
      </c>
    </row>
    <row r="6" spans="2:7" s="76" customFormat="1" ht="16.5" customHeight="1" x14ac:dyDescent="0.3">
      <c r="B6" s="47" t="s">
        <v>16</v>
      </c>
      <c r="C6" s="5" t="s">
        <v>142</v>
      </c>
      <c r="D6" s="5"/>
      <c r="E6" s="82">
        <f>(1/3)/MESES_NO_ANO*100</f>
        <v>2.7777777777777777</v>
      </c>
      <c r="F6" s="82" t="s">
        <v>143</v>
      </c>
    </row>
    <row r="7" spans="2:7" s="50" customFormat="1" ht="16.5" customHeight="1" x14ac:dyDescent="0.3">
      <c r="B7" s="126" t="s">
        <v>144</v>
      </c>
      <c r="C7" s="126"/>
      <c r="D7" s="126"/>
      <c r="E7" s="126"/>
      <c r="F7" s="126"/>
    </row>
    <row r="8" spans="2:7" s="50" customFormat="1" ht="34.5" customHeight="1" x14ac:dyDescent="0.3">
      <c r="B8" s="26" t="s">
        <v>145</v>
      </c>
      <c r="C8" s="127" t="s">
        <v>146</v>
      </c>
      <c r="D8" s="127"/>
      <c r="E8" s="47" t="s">
        <v>73</v>
      </c>
    </row>
    <row r="9" spans="2:7" ht="16.5" customHeight="1" x14ac:dyDescent="0.3">
      <c r="B9" s="26" t="s">
        <v>14</v>
      </c>
      <c r="C9" s="123" t="s">
        <v>147</v>
      </c>
      <c r="D9" s="123"/>
      <c r="E9" s="81">
        <v>20</v>
      </c>
    </row>
    <row r="10" spans="2:7" s="18" customFormat="1" ht="16.5" customHeight="1" x14ac:dyDescent="0.15">
      <c r="B10" s="47" t="s">
        <v>16</v>
      </c>
      <c r="C10" s="5" t="s">
        <v>148</v>
      </c>
      <c r="D10" s="5"/>
      <c r="E10" s="83">
        <v>2.5</v>
      </c>
    </row>
    <row r="11" spans="2:7" s="18" customFormat="1" ht="16.5" customHeight="1" x14ac:dyDescent="0.15">
      <c r="B11" s="47" t="s">
        <v>19</v>
      </c>
      <c r="C11" s="123" t="s">
        <v>149</v>
      </c>
      <c r="D11" s="123"/>
      <c r="E11" s="81">
        <v>3</v>
      </c>
    </row>
    <row r="12" spans="2:7" s="18" customFormat="1" ht="16.5" customHeight="1" x14ac:dyDescent="0.15">
      <c r="B12" s="47" t="s">
        <v>22</v>
      </c>
      <c r="C12" s="5" t="s">
        <v>150</v>
      </c>
      <c r="D12" s="5"/>
      <c r="E12" s="82">
        <v>1.5</v>
      </c>
    </row>
    <row r="13" spans="2:7" s="18" customFormat="1" ht="16.5" customHeight="1" x14ac:dyDescent="0.15">
      <c r="B13" s="47" t="s">
        <v>25</v>
      </c>
      <c r="C13" s="123" t="s">
        <v>151</v>
      </c>
      <c r="D13" s="123"/>
      <c r="E13" s="81">
        <v>1</v>
      </c>
    </row>
    <row r="14" spans="2:7" s="20" customFormat="1" ht="16.5" customHeight="1" x14ac:dyDescent="0.15">
      <c r="B14" s="47" t="s">
        <v>51</v>
      </c>
      <c r="C14" s="5" t="s">
        <v>152</v>
      </c>
      <c r="D14" s="5"/>
      <c r="E14" s="83">
        <v>0.6</v>
      </c>
    </row>
    <row r="15" spans="2:7" s="20" customFormat="1" ht="16.5" customHeight="1" x14ac:dyDescent="0.15">
      <c r="B15" s="47" t="s">
        <v>53</v>
      </c>
      <c r="C15" s="123" t="s">
        <v>153</v>
      </c>
      <c r="D15" s="123"/>
      <c r="E15" s="81">
        <v>0.2</v>
      </c>
    </row>
    <row r="16" spans="2:7" ht="16.5" customHeight="1" x14ac:dyDescent="0.3">
      <c r="B16" s="47" t="s">
        <v>130</v>
      </c>
      <c r="C16" s="5" t="s">
        <v>154</v>
      </c>
      <c r="D16" s="5"/>
      <c r="E16" s="83">
        <v>8</v>
      </c>
    </row>
    <row r="17" spans="2:6" x14ac:dyDescent="0.3">
      <c r="B17" s="118" t="s">
        <v>155</v>
      </c>
      <c r="C17" s="118"/>
      <c r="D17" s="118"/>
      <c r="E17" s="84">
        <f>SUM(E9:E16)</f>
        <v>36.799999999999997</v>
      </c>
    </row>
    <row r="18" spans="2:6" s="50" customFormat="1" x14ac:dyDescent="0.3">
      <c r="B18" s="45" t="s">
        <v>114</v>
      </c>
      <c r="C18" s="57"/>
      <c r="D18" s="58"/>
      <c r="E18" s="59"/>
    </row>
    <row r="19" spans="2:6" s="50" customFormat="1" ht="15" customHeight="1" x14ac:dyDescent="0.3">
      <c r="B19" s="26">
        <v>3</v>
      </c>
      <c r="C19" s="118" t="s">
        <v>115</v>
      </c>
      <c r="D19" s="118"/>
      <c r="E19" s="47" t="s">
        <v>73</v>
      </c>
      <c r="F19" s="47" t="s">
        <v>139</v>
      </c>
    </row>
    <row r="20" spans="2:6" s="50" customFormat="1" x14ac:dyDescent="0.3">
      <c r="B20" s="26" t="s">
        <v>14</v>
      </c>
      <c r="C20" s="128" t="s">
        <v>156</v>
      </c>
      <c r="D20" s="128"/>
      <c r="E20" s="81">
        <f>PERC_EMPREG_DEMIT_SEM_JUSTA_CAUSA_TOTAL_DESLIG%*PERC_EMPREG_AVISO_PREVIO_IND%*1/MESES_NO_ANO*100</f>
        <v>0.29105124999999998</v>
      </c>
      <c r="F20" s="81" t="s">
        <v>157</v>
      </c>
    </row>
    <row r="21" spans="2:6" s="50" customFormat="1" x14ac:dyDescent="0.3">
      <c r="B21" s="47" t="s">
        <v>16</v>
      </c>
      <c r="C21" s="129" t="s">
        <v>158</v>
      </c>
      <c r="D21" s="129"/>
      <c r="E21" s="83">
        <f>PERC_FGTS%*PERC_AVISO_PREVIO_IND</f>
        <v>2.3284099999999999E-2</v>
      </c>
      <c r="F21" s="82" t="s">
        <v>159</v>
      </c>
    </row>
    <row r="22" spans="2:6" s="18" customFormat="1" x14ac:dyDescent="0.15">
      <c r="B22" s="47" t="s">
        <v>19</v>
      </c>
      <c r="C22" s="128" t="s">
        <v>160</v>
      </c>
      <c r="D22" s="128"/>
      <c r="E22" s="81">
        <f>PERC_AVISO_PREVIO_IND%*(PERC_MULTA_FGTS%+PERC_CONTRIB_SOCIAL%)*PERC_FGTS%*100</f>
        <v>1.1642049999999999E-2</v>
      </c>
      <c r="F22" s="81" t="s">
        <v>161</v>
      </c>
    </row>
    <row r="23" spans="2:6" s="50" customFormat="1" x14ac:dyDescent="0.3">
      <c r="B23" s="47" t="s">
        <v>22</v>
      </c>
      <c r="C23" s="129" t="s">
        <v>162</v>
      </c>
      <c r="D23" s="129"/>
      <c r="E23" s="83">
        <f>PERC_EMPREG_DEMIT_SEM_JUSTA_CAUSA_TOTAL_DESLIG%*PERC_EMPREG_AVISO_PREVIO_TRAB%*(DIAS_NA_SEMANA/DIAS_NO_MES)/MESES_NO_ANO*100</f>
        <v>1.1557269305555555</v>
      </c>
      <c r="F23" s="82" t="s">
        <v>163</v>
      </c>
    </row>
    <row r="24" spans="2:6" s="18" customFormat="1" x14ac:dyDescent="0.15">
      <c r="B24" s="47" t="s">
        <v>25</v>
      </c>
      <c r="C24" s="128" t="s">
        <v>164</v>
      </c>
      <c r="D24" s="128"/>
      <c r="E24" s="81">
        <f>PERC_GPS_FGTS*PERC_AVISO_PREVIO_TRAB%</f>
        <v>0.42530751044444437</v>
      </c>
      <c r="F24" s="81" t="s">
        <v>165</v>
      </c>
    </row>
    <row r="25" spans="2:6" s="18" customFormat="1" x14ac:dyDescent="0.15">
      <c r="B25" s="47" t="s">
        <v>51</v>
      </c>
      <c r="C25" s="129" t="s">
        <v>166</v>
      </c>
      <c r="D25" s="129"/>
      <c r="E25" s="83">
        <f>ROUNDUP(PERC_AVISO_PREVIO_TRAB%*(PERC_MULTA_FGTS%+PERC_CONTRIB_SOCIAL%)*PERC_FGTS%*100,2)</f>
        <v>0.05</v>
      </c>
      <c r="F25" s="82" t="s">
        <v>167</v>
      </c>
    </row>
    <row r="26" spans="2:6" s="18" customFormat="1" ht="15.95" customHeight="1" x14ac:dyDescent="0.3">
      <c r="B26" s="45" t="s">
        <v>69</v>
      </c>
      <c r="C26" s="57"/>
      <c r="D26" s="58"/>
      <c r="E26" s="15"/>
    </row>
    <row r="27" spans="2:6" s="18" customFormat="1" ht="15.95" customHeight="1" x14ac:dyDescent="0.3">
      <c r="B27" s="45" t="s">
        <v>70</v>
      </c>
      <c r="C27" s="57"/>
      <c r="D27" s="58"/>
      <c r="E27" s="59"/>
    </row>
    <row r="28" spans="2:6" s="18" customFormat="1" ht="16.5" customHeight="1" x14ac:dyDescent="0.15">
      <c r="B28" s="26" t="s">
        <v>71</v>
      </c>
      <c r="C28" s="4" t="s">
        <v>72</v>
      </c>
      <c r="D28" s="4"/>
      <c r="E28" s="47" t="s">
        <v>73</v>
      </c>
      <c r="F28" s="47" t="s">
        <v>139</v>
      </c>
    </row>
    <row r="29" spans="2:6" s="18" customFormat="1" ht="15.95" customHeight="1" x14ac:dyDescent="0.15">
      <c r="B29" s="47" t="s">
        <v>14</v>
      </c>
      <c r="C29" s="123" t="s">
        <v>168</v>
      </c>
      <c r="D29" s="123"/>
      <c r="E29" s="81">
        <f>(1/MESES_NO_ANO)*100</f>
        <v>8.3333333333333321</v>
      </c>
      <c r="F29" s="81" t="s">
        <v>169</v>
      </c>
    </row>
    <row r="30" spans="2:6" s="18" customFormat="1" ht="15.95" customHeight="1" x14ac:dyDescent="0.15">
      <c r="B30" s="47" t="s">
        <v>16</v>
      </c>
      <c r="C30" s="29" t="s">
        <v>170</v>
      </c>
      <c r="D30" s="29"/>
      <c r="E30" s="83">
        <f>(DIAS_AUSENCIAS_LEGAIS/DIAS_NO_MES)/MESES_NO_ANO*100</f>
        <v>2.2222222222222223</v>
      </c>
      <c r="F30" s="82" t="s">
        <v>171</v>
      </c>
    </row>
    <row r="31" spans="2:6" s="18" customFormat="1" ht="15.95" customHeight="1" x14ac:dyDescent="0.15">
      <c r="B31" s="47" t="s">
        <v>19</v>
      </c>
      <c r="C31" s="123" t="s">
        <v>172</v>
      </c>
      <c r="D31" s="123"/>
      <c r="E31" s="81">
        <f>(((DIAS_LICENCA_PATERNIDADE/DIAS_NO_MES)/MESES_NO_ANO)*PERC_NASCIDOS_VIVOS_POPUL_FEM%*PERC_PARTIC_MASC_VIGIL%)*100</f>
        <v>3.5673555555555549E-2</v>
      </c>
      <c r="F31" s="81" t="s">
        <v>173</v>
      </c>
    </row>
    <row r="32" spans="2:6" s="18" customFormat="1" ht="16.5" customHeight="1" x14ac:dyDescent="0.15">
      <c r="B32" s="47" t="s">
        <v>22</v>
      </c>
      <c r="C32" s="5" t="s">
        <v>174</v>
      </c>
      <c r="D32" s="5"/>
      <c r="E32" s="83">
        <f>(DIAS_PAGOS_EMPRESA_ACID_TRAB/DIAS_NO_MES)/MESES_NO_ANO*PERC_EMPREG_AFAST_TRAB%*100</f>
        <v>1.85302229372558E-2</v>
      </c>
      <c r="F32" s="82" t="s">
        <v>175</v>
      </c>
    </row>
    <row r="33" spans="2:7" s="18" customFormat="1" ht="33" customHeight="1" x14ac:dyDescent="0.15">
      <c r="B33" s="47" t="s">
        <v>25</v>
      </c>
      <c r="C33" s="123" t="s">
        <v>176</v>
      </c>
      <c r="D33" s="123"/>
      <c r="E33" s="81">
        <f>(((DIAS_LICENCA_MATERNIDADE/DIAS_NO_MES)/MESES_NO_ANO)*PERC_NASCIDOS_VIVOS_POPUL_FEM%*PERC_PARTIC_FEM_VIGIL%*PERC_GPS_FGTS%*100)</f>
        <v>0.14312918399999999</v>
      </c>
      <c r="F33" s="81" t="s">
        <v>177</v>
      </c>
    </row>
    <row r="34" spans="2:7" s="18" customFormat="1" x14ac:dyDescent="0.15">
      <c r="B34" s="47" t="s">
        <v>51</v>
      </c>
      <c r="C34" s="5" t="str">
        <f>OUTRAS_AUSENCIAS_DESCRICAO</f>
        <v>Outras Ausências (Especificar - em %)</v>
      </c>
      <c r="D34" s="5"/>
      <c r="E34" s="83">
        <f>PERC_SUBSTITUTO_OUTRAS_AUSENCIAS</f>
        <v>0</v>
      </c>
      <c r="F34" s="82"/>
    </row>
    <row r="36" spans="2:7" ht="20.25" x14ac:dyDescent="0.3">
      <c r="B36" s="69" t="s">
        <v>98</v>
      </c>
    </row>
    <row r="37" spans="2:7" ht="42.75" customHeight="1" x14ac:dyDescent="0.3">
      <c r="B37" s="124" t="s">
        <v>99</v>
      </c>
      <c r="C37" s="124"/>
      <c r="D37" s="124"/>
      <c r="E37" s="124"/>
      <c r="G37" s="85"/>
    </row>
  </sheetData>
  <sheetProtection sheet="1" objects="1" scenarios="1"/>
  <mergeCells count="28">
    <mergeCell ref="C33:D33"/>
    <mergeCell ref="C34:D34"/>
    <mergeCell ref="B37:E37"/>
    <mergeCell ref="C25:D25"/>
    <mergeCell ref="C28:D28"/>
    <mergeCell ref="C29:D29"/>
    <mergeCell ref="C31:D31"/>
    <mergeCell ref="C32:D32"/>
    <mergeCell ref="C20:D20"/>
    <mergeCell ref="C21:D21"/>
    <mergeCell ref="C22:D22"/>
    <mergeCell ref="C23:D23"/>
    <mergeCell ref="C24:D24"/>
    <mergeCell ref="C14:D14"/>
    <mergeCell ref="C15:D15"/>
    <mergeCell ref="C16:D16"/>
    <mergeCell ref="B17:D17"/>
    <mergeCell ref="C19:D19"/>
    <mergeCell ref="C9:D9"/>
    <mergeCell ref="C10:D10"/>
    <mergeCell ref="C11:D11"/>
    <mergeCell ref="C12:D12"/>
    <mergeCell ref="C13:D13"/>
    <mergeCell ref="C4:D4"/>
    <mergeCell ref="C5:D5"/>
    <mergeCell ref="C6:D6"/>
    <mergeCell ref="B7:F7"/>
    <mergeCell ref="C8:D8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3">
      <formula1>0</formula1>
      <formula2>1.94</formula2>
    </dataValidation>
  </dataValidations>
  <pageMargins left="0.179861111111111" right="0.17013888888888901" top="0.1" bottom="2.9861111111111099E-2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8"/>
  <sheetViews>
    <sheetView topLeftCell="A100" zoomScaleNormal="100" workbookViewId="0">
      <selection activeCell="B1" sqref="B1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7.85546875" style="15" customWidth="1"/>
    <col min="5" max="5" width="13.5703125" style="15" customWidth="1"/>
    <col min="6" max="6" width="15.42578125" style="15" customWidth="1"/>
    <col min="7" max="1025" width="9.140625" style="15" customWidth="1"/>
  </cols>
  <sheetData>
    <row r="1" spans="2:6" ht="20.25" x14ac:dyDescent="0.35">
      <c r="B1" s="130" t="str">
        <f>RAMO</f>
        <v>RAMO: MINISTÉRIO PÚBLICO FEDERAL</v>
      </c>
      <c r="C1" s="130"/>
      <c r="D1" s="130"/>
      <c r="E1" s="130"/>
      <c r="F1" s="130"/>
    </row>
    <row r="2" spans="2:6" ht="20.25" x14ac:dyDescent="0.35">
      <c r="B2" s="131" t="str">
        <f>UG</f>
        <v>UNIDADE GESTORA (SIGLA): PR/AP</v>
      </c>
      <c r="C2" s="131"/>
      <c r="D2" s="131"/>
      <c r="E2" s="86" t="s">
        <v>2</v>
      </c>
      <c r="F2" s="87">
        <f>DATA_DO_ORCAMENTO_ESTIMATIVO</f>
        <v>43938</v>
      </c>
    </row>
    <row r="3" spans="2:6" s="18" customFormat="1" ht="25.5" x14ac:dyDescent="0.5">
      <c r="B3" s="13" t="s">
        <v>178</v>
      </c>
      <c r="C3" s="13"/>
      <c r="D3" s="13"/>
      <c r="E3" s="13"/>
      <c r="F3" s="13"/>
    </row>
    <row r="4" spans="2:6" s="18" customFormat="1" ht="15.95" customHeight="1" x14ac:dyDescent="0.3">
      <c r="B4" s="12" t="s">
        <v>4</v>
      </c>
      <c r="C4" s="12"/>
      <c r="D4" s="12"/>
      <c r="E4" s="12"/>
      <c r="F4" s="12"/>
    </row>
    <row r="5" spans="2:6" s="18" customFormat="1" ht="15.95" customHeight="1" x14ac:dyDescent="0.3">
      <c r="B5" s="11" t="s">
        <v>179</v>
      </c>
      <c r="C5" s="11"/>
      <c r="D5" s="132" t="str">
        <f>NUMERO_PROCESSO</f>
        <v>1.12.000.001095/2019-21</v>
      </c>
      <c r="E5" s="132"/>
      <c r="F5" s="132"/>
    </row>
    <row r="6" spans="2:6" s="18" customFormat="1" ht="15.75" customHeight="1" x14ac:dyDescent="0.3">
      <c r="B6" s="9" t="s">
        <v>180</v>
      </c>
      <c r="C6" s="9"/>
      <c r="D6" s="133" t="str">
        <f>MODALIDADE_DE_LICITACAO</f>
        <v>Pregão nº</v>
      </c>
      <c r="E6" s="133"/>
      <c r="F6" s="88" t="str">
        <f>NUMERO_PREGAO</f>
        <v>XX/20XX</v>
      </c>
    </row>
    <row r="7" spans="2:6" s="20" customFormat="1" ht="15.75" customHeight="1" x14ac:dyDescent="0.3">
      <c r="B7" s="134" t="s">
        <v>181</v>
      </c>
      <c r="C7" s="134"/>
      <c r="D7" s="134"/>
      <c r="E7" s="134"/>
      <c r="F7" s="134"/>
    </row>
    <row r="8" spans="2:6" s="18" customFormat="1" ht="18" customHeight="1" x14ac:dyDescent="0.3">
      <c r="B8" s="24" t="s">
        <v>14</v>
      </c>
      <c r="C8" s="11" t="s">
        <v>15</v>
      </c>
      <c r="D8" s="11"/>
      <c r="E8" s="11"/>
      <c r="F8" s="89" t="str">
        <f>DATA_APRESENTACAO_PROPOSTA</f>
        <v>XX/XX/20XX</v>
      </c>
    </row>
    <row r="9" spans="2:6" s="18" customFormat="1" ht="15.95" customHeight="1" x14ac:dyDescent="0.15">
      <c r="B9" s="26" t="s">
        <v>16</v>
      </c>
      <c r="C9" s="27" t="s">
        <v>17</v>
      </c>
      <c r="D9" s="125" t="str">
        <f>IF(LOCAL_DE_EXECUCAO="","",LOCAL_DE_EXECUCAO)</f>
        <v>Sede e Anexo</v>
      </c>
      <c r="E9" s="125"/>
      <c r="F9" s="125"/>
    </row>
    <row r="10" spans="2:6" s="18" customFormat="1" ht="18.75" customHeight="1" x14ac:dyDescent="0.3">
      <c r="B10" s="24" t="s">
        <v>19</v>
      </c>
      <c r="C10" s="11" t="s">
        <v>23</v>
      </c>
      <c r="D10" s="11"/>
      <c r="E10" s="11"/>
      <c r="F10" s="90" t="str">
        <f>ACORDO_COLETIVO</f>
        <v>XX/2019</v>
      </c>
    </row>
    <row r="11" spans="2:6" s="18" customFormat="1" ht="15.95" customHeight="1" x14ac:dyDescent="0.3">
      <c r="B11" s="26" t="s">
        <v>22</v>
      </c>
      <c r="C11" s="125" t="s">
        <v>26</v>
      </c>
      <c r="D11" s="125"/>
      <c r="E11" s="125"/>
      <c r="F11" s="54">
        <f>NUMERO_MESES_EXEC_CONTRATUAL</f>
        <v>12</v>
      </c>
    </row>
    <row r="12" spans="2:6" s="18" customFormat="1" x14ac:dyDescent="0.3">
      <c r="B12" s="26" t="s">
        <v>25</v>
      </c>
      <c r="C12" s="135" t="s">
        <v>182</v>
      </c>
      <c r="D12" s="135"/>
      <c r="E12" s="135"/>
      <c r="F12" s="30">
        <f>IF(QTDE_POSTOS="","",QTDE_POSTOS)</f>
        <v>1</v>
      </c>
    </row>
    <row r="13" spans="2:6" s="91" customFormat="1" ht="15" customHeight="1" x14ac:dyDescent="0.2">
      <c r="B13" s="92" t="s">
        <v>42</v>
      </c>
      <c r="C13" s="93"/>
      <c r="D13" s="93"/>
      <c r="E13" s="93"/>
      <c r="F13" s="93"/>
    </row>
    <row r="14" spans="2:6" s="18" customFormat="1" x14ac:dyDescent="0.3">
      <c r="B14" s="24">
        <v>1</v>
      </c>
      <c r="C14" s="11" t="s">
        <v>183</v>
      </c>
      <c r="D14" s="11"/>
      <c r="E14" s="132" t="str">
        <f>IF(TIPO_DE_SERVICO="","",TIPO_DE_SERVICO)</f>
        <v>Prestação do serviço de garçom na Procuradoria da República no Estado do Amapá.</v>
      </c>
      <c r="F14" s="132"/>
    </row>
    <row r="15" spans="2:6" s="20" customFormat="1" x14ac:dyDescent="0.3">
      <c r="B15" s="24">
        <v>2</v>
      </c>
      <c r="C15" s="39" t="s">
        <v>36</v>
      </c>
      <c r="D15" s="136" t="str">
        <f>IF(CBO="","",CBO)</f>
        <v>5134-05</v>
      </c>
      <c r="E15" s="136"/>
      <c r="F15" s="136"/>
    </row>
    <row r="16" spans="2:6" s="18" customFormat="1" ht="15" customHeight="1" x14ac:dyDescent="0.3">
      <c r="B16" s="24">
        <v>3</v>
      </c>
      <c r="C16" s="38" t="s">
        <v>38</v>
      </c>
      <c r="D16" s="132" t="str">
        <f>IF(CATEGORIA_PROFISSIONAL="","",CATEGORIA_PROFISSIONAL)</f>
        <v>GARÇOM I</v>
      </c>
      <c r="E16" s="132"/>
      <c r="F16" s="132"/>
    </row>
    <row r="17" spans="2:6" s="18" customFormat="1" ht="15" customHeight="1" x14ac:dyDescent="0.3">
      <c r="B17" s="24">
        <v>4</v>
      </c>
      <c r="C17" s="9" t="s">
        <v>40</v>
      </c>
      <c r="D17" s="9"/>
      <c r="E17" s="9"/>
      <c r="F17" s="94">
        <f>DATA_BASE_CATEGORIA</f>
        <v>43466</v>
      </c>
    </row>
    <row r="18" spans="2:6" s="95" customFormat="1" ht="20.25" customHeight="1" x14ac:dyDescent="0.3">
      <c r="B18" s="137" t="s">
        <v>184</v>
      </c>
      <c r="C18" s="137"/>
      <c r="D18" s="137"/>
      <c r="E18" s="137"/>
      <c r="F18" s="137"/>
    </row>
    <row r="19" spans="2:6" x14ac:dyDescent="0.3">
      <c r="B19" s="118" t="s">
        <v>185</v>
      </c>
      <c r="C19" s="118"/>
      <c r="D19" s="118"/>
      <c r="E19" s="118"/>
      <c r="F19" s="96">
        <f>IF(EMPREG_POR_POSTO="","",EMPREG_POR_POSTO)</f>
        <v>1</v>
      </c>
    </row>
    <row r="20" spans="2:6" x14ac:dyDescent="0.3">
      <c r="B20" s="45" t="s">
        <v>43</v>
      </c>
      <c r="E20" s="46"/>
      <c r="F20" s="46"/>
    </row>
    <row r="21" spans="2:6" ht="16.5" customHeight="1" x14ac:dyDescent="0.3">
      <c r="B21" s="26">
        <v>1</v>
      </c>
      <c r="C21" s="4" t="s">
        <v>44</v>
      </c>
      <c r="D21" s="4"/>
      <c r="E21" s="4"/>
      <c r="F21" s="47" t="s">
        <v>83</v>
      </c>
    </row>
    <row r="22" spans="2:6" ht="16.5" customHeight="1" x14ac:dyDescent="0.3">
      <c r="B22" s="26" t="s">
        <v>14</v>
      </c>
      <c r="C22" s="3" t="s">
        <v>186</v>
      </c>
      <c r="D22" s="3"/>
      <c r="E22" s="3"/>
      <c r="F22" s="97">
        <f>SALARIO_BASE</f>
        <v>1200.68</v>
      </c>
    </row>
    <row r="23" spans="2:6" ht="16.5" customHeight="1" x14ac:dyDescent="0.3">
      <c r="B23" s="26" t="s">
        <v>16</v>
      </c>
      <c r="C23" s="5" t="s">
        <v>187</v>
      </c>
      <c r="D23" s="5"/>
      <c r="E23" s="5"/>
      <c r="F23" s="98">
        <f>PERC_ADIC_PERIC%*SALARIO_BASE</f>
        <v>0</v>
      </c>
    </row>
    <row r="24" spans="2:6" ht="15.75" customHeight="1" x14ac:dyDescent="0.3">
      <c r="B24" s="26" t="s">
        <v>19</v>
      </c>
      <c r="C24" s="138" t="s">
        <v>188</v>
      </c>
      <c r="D24" s="138"/>
      <c r="E24" s="138"/>
      <c r="F24" s="97">
        <f>((AL_1_A_SAL_BASE+AL_1_B_ADIC_PERIC)/DIVISOR_DE_HORAS)*DIAS_NA_SEMANA*MEDIA_ANUAL_DIAS_TRABALHO_MES*PERC_ADIC_NOT%</f>
        <v>0</v>
      </c>
    </row>
    <row r="25" spans="2:6" ht="15.75" customHeight="1" x14ac:dyDescent="0.3">
      <c r="B25" s="26" t="s">
        <v>22</v>
      </c>
      <c r="C25" s="5" t="s">
        <v>189</v>
      </c>
      <c r="D25" s="5"/>
      <c r="E25" s="5"/>
      <c r="F25" s="98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26" t="s">
        <v>25</v>
      </c>
      <c r="C26" s="123" t="s">
        <v>190</v>
      </c>
      <c r="D26" s="123"/>
      <c r="E26" s="123"/>
      <c r="F26" s="97">
        <f>PERC_ADIC_INS%*SAL_MINIMO</f>
        <v>0</v>
      </c>
    </row>
    <row r="27" spans="2:6" x14ac:dyDescent="0.3">
      <c r="B27" s="26" t="s">
        <v>51</v>
      </c>
      <c r="C27" s="2" t="str">
        <f>OUTROS_REMUNERACAO_1_DESCRICAO</f>
        <v>Outras Remunerações 1 (Especificar)</v>
      </c>
      <c r="D27" s="2"/>
      <c r="E27" s="2"/>
      <c r="F27" s="98">
        <f>OUTROS_REMUNERACAO_1</f>
        <v>0</v>
      </c>
    </row>
    <row r="28" spans="2:6" x14ac:dyDescent="0.3">
      <c r="B28" s="26" t="s">
        <v>53</v>
      </c>
      <c r="C28" s="3" t="str">
        <f>OUTROS_REMUNERACAO_2_DESCRICAO</f>
        <v>Outras Remunerações 2 (Especificar)</v>
      </c>
      <c r="D28" s="3"/>
      <c r="E28" s="3"/>
      <c r="F28" s="97">
        <f>OUTROS_REMUNERACAO_2</f>
        <v>0</v>
      </c>
    </row>
    <row r="29" spans="2:6" x14ac:dyDescent="0.3">
      <c r="B29" s="26" t="s">
        <v>130</v>
      </c>
      <c r="C29" s="2" t="str">
        <f>OUTROS_REMUNERACAO_3_DESCRICAO</f>
        <v>Outras Remunerações 3 (Especificar)</v>
      </c>
      <c r="D29" s="2"/>
      <c r="E29" s="2"/>
      <c r="F29" s="98">
        <f>OUTROS_REMUNERACAO_3</f>
        <v>0</v>
      </c>
    </row>
    <row r="30" spans="2:6" ht="16.5" customHeight="1" x14ac:dyDescent="0.3">
      <c r="B30" s="4" t="s">
        <v>155</v>
      </c>
      <c r="C30" s="4"/>
      <c r="D30" s="4"/>
      <c r="E30" s="4"/>
      <c r="F30" s="99">
        <f>SUM(F22:F29)</f>
        <v>1200.68</v>
      </c>
    </row>
    <row r="31" spans="2:6" x14ac:dyDescent="0.3">
      <c r="B31" s="45" t="s">
        <v>55</v>
      </c>
      <c r="E31" s="51"/>
      <c r="F31" s="51"/>
    </row>
    <row r="32" spans="2:6" x14ac:dyDescent="0.3">
      <c r="B32" s="45" t="s">
        <v>136</v>
      </c>
      <c r="C32" s="57"/>
      <c r="D32" s="58"/>
      <c r="E32" s="59"/>
      <c r="F32" s="59"/>
    </row>
    <row r="33" spans="2:6" x14ac:dyDescent="0.3">
      <c r="B33" s="26" t="s">
        <v>137</v>
      </c>
      <c r="C33" s="118" t="s">
        <v>138</v>
      </c>
      <c r="D33" s="118"/>
      <c r="E33" s="47" t="s">
        <v>73</v>
      </c>
      <c r="F33" s="47" t="s">
        <v>83</v>
      </c>
    </row>
    <row r="34" spans="2:6" ht="16.5" customHeight="1" x14ac:dyDescent="0.3">
      <c r="B34" s="26" t="s">
        <v>14</v>
      </c>
      <c r="C34" s="123" t="s">
        <v>140</v>
      </c>
      <c r="D34" s="123"/>
      <c r="E34" s="81">
        <f>PERC_DEC_TERC</f>
        <v>8.3333333333333321</v>
      </c>
      <c r="F34" s="78">
        <f>PERC_DEC_TERC%*MOD_1_REMUNERACAO</f>
        <v>100.05666666666664</v>
      </c>
    </row>
    <row r="35" spans="2:6" s="76" customFormat="1" ht="16.5" customHeight="1" x14ac:dyDescent="0.3">
      <c r="B35" s="47" t="s">
        <v>16</v>
      </c>
      <c r="C35" s="5" t="s">
        <v>142</v>
      </c>
      <c r="D35" s="5"/>
      <c r="E35" s="82">
        <f>PERC_ADIC_FERIAS</f>
        <v>2.7777777777777777</v>
      </c>
      <c r="F35" s="79">
        <f>PERC_ADIC_FERIAS%*MOD_1_REMUNERACAO</f>
        <v>33.352222222222224</v>
      </c>
    </row>
    <row r="36" spans="2:6" s="50" customFormat="1" x14ac:dyDescent="0.3">
      <c r="B36" s="118" t="s">
        <v>155</v>
      </c>
      <c r="C36" s="118"/>
      <c r="D36" s="118"/>
      <c r="E36" s="118"/>
      <c r="F36" s="100">
        <f>SUM(F34:F35)</f>
        <v>133.40888888888887</v>
      </c>
    </row>
    <row r="37" spans="2:6" s="50" customFormat="1" ht="31.5" customHeight="1" x14ac:dyDescent="0.3">
      <c r="B37" s="139" t="s">
        <v>144</v>
      </c>
      <c r="C37" s="139"/>
      <c r="D37" s="139"/>
      <c r="E37" s="139"/>
      <c r="F37" s="139"/>
    </row>
    <row r="38" spans="2:6" s="50" customFormat="1" ht="34.5" customHeight="1" x14ac:dyDescent="0.3">
      <c r="B38" s="26" t="s">
        <v>145</v>
      </c>
      <c r="C38" s="127" t="s">
        <v>146</v>
      </c>
      <c r="D38" s="127"/>
      <c r="E38" s="47" t="s">
        <v>73</v>
      </c>
      <c r="F38" s="47" t="s">
        <v>83</v>
      </c>
    </row>
    <row r="39" spans="2:6" ht="16.5" customHeight="1" x14ac:dyDescent="0.3">
      <c r="B39" s="26" t="s">
        <v>14</v>
      </c>
      <c r="C39" s="123" t="s">
        <v>147</v>
      </c>
      <c r="D39" s="123"/>
      <c r="E39" s="81">
        <f>PERC_INSS</f>
        <v>20</v>
      </c>
      <c r="F39" s="78">
        <f>PERC_INSS%*(MOD_1_REMUNERACAO+SUBMOD_2_1_DEC_TERC_ADIC_FERIAS)</f>
        <v>266.81777777777779</v>
      </c>
    </row>
    <row r="40" spans="2:6" s="18" customFormat="1" ht="16.5" customHeight="1" x14ac:dyDescent="0.15">
      <c r="B40" s="47" t="s">
        <v>16</v>
      </c>
      <c r="C40" s="5" t="s">
        <v>148</v>
      </c>
      <c r="D40" s="5"/>
      <c r="E40" s="83">
        <f>PERC_SAL_EDUCACAO</f>
        <v>2.5</v>
      </c>
      <c r="F40" s="79">
        <f>PERC_SAL_EDUCACAO%*(MOD_1_REMUNERACAO+SUBMOD_2_1_DEC_TERC_ADIC_FERIAS)</f>
        <v>33.352222222222224</v>
      </c>
    </row>
    <row r="41" spans="2:6" s="18" customFormat="1" ht="16.5" customHeight="1" x14ac:dyDescent="0.15">
      <c r="B41" s="47" t="s">
        <v>19</v>
      </c>
      <c r="C41" s="123" t="s">
        <v>149</v>
      </c>
      <c r="D41" s="123"/>
      <c r="E41" s="81">
        <f>PERC_RAT</f>
        <v>3</v>
      </c>
      <c r="F41" s="78">
        <f>PERC_RAT%*(MOD_1_REMUNERACAO+SUBMOD_2_1_DEC_TERC_ADIC_FERIAS)</f>
        <v>40.022666666666666</v>
      </c>
    </row>
    <row r="42" spans="2:6" s="18" customFormat="1" ht="16.5" customHeight="1" x14ac:dyDescent="0.15">
      <c r="B42" s="47" t="s">
        <v>22</v>
      </c>
      <c r="C42" s="5" t="s">
        <v>150</v>
      </c>
      <c r="D42" s="5"/>
      <c r="E42" s="82">
        <f>PERC_SESC</f>
        <v>1.5</v>
      </c>
      <c r="F42" s="79">
        <f>PERC_SESC%*(MOD_1_REMUNERACAO+SUBMOD_2_1_DEC_TERC_ADIC_FERIAS)</f>
        <v>20.011333333333333</v>
      </c>
    </row>
    <row r="43" spans="2:6" s="18" customFormat="1" ht="16.5" customHeight="1" x14ac:dyDescent="0.15">
      <c r="B43" s="47" t="s">
        <v>25</v>
      </c>
      <c r="C43" s="123" t="s">
        <v>151</v>
      </c>
      <c r="D43" s="123"/>
      <c r="E43" s="81">
        <f>PERC_SENAC</f>
        <v>1</v>
      </c>
      <c r="F43" s="78">
        <f>PERC_SENAC%*(MOD_1_REMUNERACAO+SUBMOD_2_1_DEC_TERC_ADIC_FERIAS)</f>
        <v>13.340888888888889</v>
      </c>
    </row>
    <row r="44" spans="2:6" s="20" customFormat="1" ht="16.5" customHeight="1" x14ac:dyDescent="0.15">
      <c r="B44" s="47" t="s">
        <v>51</v>
      </c>
      <c r="C44" s="5" t="s">
        <v>152</v>
      </c>
      <c r="D44" s="5"/>
      <c r="E44" s="83">
        <f>PERC_SEBRAE</f>
        <v>0.6</v>
      </c>
      <c r="F44" s="79">
        <f>PERC_SEBRAE%*(MOD_1_REMUNERACAO+SUBMOD_2_1_DEC_TERC_ADIC_FERIAS)</f>
        <v>8.0045333333333346</v>
      </c>
    </row>
    <row r="45" spans="2:6" s="20" customFormat="1" ht="16.5" customHeight="1" x14ac:dyDescent="0.15">
      <c r="B45" s="47" t="s">
        <v>53</v>
      </c>
      <c r="C45" s="123" t="s">
        <v>153</v>
      </c>
      <c r="D45" s="123"/>
      <c r="E45" s="81">
        <f>PERC_INCRA</f>
        <v>0.2</v>
      </c>
      <c r="F45" s="78">
        <f>PERC_INCRA%*(MOD_1_REMUNERACAO+SUBMOD_2_1_DEC_TERC_ADIC_FERIAS)</f>
        <v>2.6681777777777778</v>
      </c>
    </row>
    <row r="46" spans="2:6" ht="16.5" customHeight="1" x14ac:dyDescent="0.3">
      <c r="B46" s="47" t="s">
        <v>130</v>
      </c>
      <c r="C46" s="5" t="s">
        <v>154</v>
      </c>
      <c r="D46" s="5"/>
      <c r="E46" s="83">
        <f>PERC_FGTS</f>
        <v>8</v>
      </c>
      <c r="F46" s="79">
        <f>PERC_FGTS%*(MOD_1_REMUNERACAO+SUBMOD_2_1_DEC_TERC_ADIC_FERIAS)</f>
        <v>106.72711111111111</v>
      </c>
    </row>
    <row r="47" spans="2:6" x14ac:dyDescent="0.3">
      <c r="B47" s="118" t="s">
        <v>155</v>
      </c>
      <c r="C47" s="118"/>
      <c r="D47" s="118"/>
      <c r="E47" s="118"/>
      <c r="F47" s="101">
        <f>SUM(F39:F46)</f>
        <v>490.94471111111113</v>
      </c>
    </row>
    <row r="48" spans="2:6" ht="15.75" customHeight="1" x14ac:dyDescent="0.3">
      <c r="B48" s="45" t="s">
        <v>56</v>
      </c>
      <c r="C48" s="20"/>
      <c r="D48" s="20"/>
      <c r="E48" s="20"/>
      <c r="F48" s="20"/>
    </row>
    <row r="49" spans="2:6" ht="15.75" customHeight="1" x14ac:dyDescent="0.3">
      <c r="B49" s="26" t="s">
        <v>57</v>
      </c>
      <c r="C49" s="4" t="s">
        <v>58</v>
      </c>
      <c r="D49" s="4"/>
      <c r="E49" s="4"/>
      <c r="F49" s="47" t="s">
        <v>83</v>
      </c>
    </row>
    <row r="50" spans="2:6" ht="16.5" customHeight="1" x14ac:dyDescent="0.3">
      <c r="B50" s="24" t="s">
        <v>14</v>
      </c>
      <c r="C50" s="123" t="s">
        <v>61</v>
      </c>
      <c r="D50" s="123"/>
      <c r="E50" s="123"/>
      <c r="F50" s="78">
        <f>IF(((TRANSPORTE_POR_DIA*DIAS_TRABALHADOS_NO_MES)-(PERC_DESC_TRANSP_REMUNERACAO%*(AL_1_A_SAL_BASE/2)))&gt;0,((TRANSPORTE_POR_DIA*DIAS_TRABALHADOS_NO_MES)-(PERC_DESC_TRANSP_REMUNERACAO%*(AL_1_A_SAL_BASE/2))),0)</f>
        <v>126.77960000000002</v>
      </c>
    </row>
    <row r="51" spans="2:6" s="50" customFormat="1" ht="16.5" customHeight="1" x14ac:dyDescent="0.3">
      <c r="B51" s="24" t="s">
        <v>16</v>
      </c>
      <c r="C51" s="5" t="s">
        <v>63</v>
      </c>
      <c r="D51" s="5"/>
      <c r="E51" s="5"/>
      <c r="F51" s="79">
        <f>ALIMENTACAO_POR_DIA*DIAS_TRABALHADOS_NO_MES</f>
        <v>399.96</v>
      </c>
    </row>
    <row r="52" spans="2:6" s="50" customFormat="1" x14ac:dyDescent="0.3">
      <c r="B52" s="24" t="s">
        <v>19</v>
      </c>
      <c r="C52" s="3" t="str">
        <f>OUTROS_BENEFICIOS_1_DESCRICAO</f>
        <v>Auxílio Funeral</v>
      </c>
      <c r="D52" s="3"/>
      <c r="E52" s="3"/>
      <c r="F52" s="78">
        <f>OUTROS_BENEFICIOS_1</f>
        <v>15</v>
      </c>
    </row>
    <row r="53" spans="2:6" s="50" customFormat="1" x14ac:dyDescent="0.3">
      <c r="B53" s="24" t="s">
        <v>22</v>
      </c>
      <c r="C53" s="2" t="str">
        <f>OUTROS_BENEFICIOS_2_DESCRICAO</f>
        <v>Outros Benefícios 2 (Especificar)</v>
      </c>
      <c r="D53" s="2"/>
      <c r="E53" s="2"/>
      <c r="F53" s="79">
        <f>OUTROS_BENEFICIOS_2</f>
        <v>0</v>
      </c>
    </row>
    <row r="54" spans="2:6" s="50" customFormat="1" x14ac:dyDescent="0.3">
      <c r="B54" s="24" t="s">
        <v>25</v>
      </c>
      <c r="C54" s="3" t="str">
        <f>OUTROS_BENEFICIOS_3_DESCRICAO</f>
        <v>Outros Benefícios 3 (Especificar)</v>
      </c>
      <c r="D54" s="3"/>
      <c r="E54" s="3"/>
      <c r="F54" s="78">
        <f>OUTROS_BENEFICIOS_3</f>
        <v>0</v>
      </c>
    </row>
    <row r="55" spans="2:6" s="50" customFormat="1" ht="15" customHeight="1" x14ac:dyDescent="0.3">
      <c r="B55" s="4" t="s">
        <v>155</v>
      </c>
      <c r="C55" s="4"/>
      <c r="D55" s="4"/>
      <c r="E55" s="4"/>
      <c r="F55" s="99">
        <f>SUM(F50:F54)</f>
        <v>541.7396</v>
      </c>
    </row>
    <row r="56" spans="2:6" s="50" customFormat="1" x14ac:dyDescent="0.3">
      <c r="B56" s="45" t="s">
        <v>114</v>
      </c>
      <c r="C56" s="57"/>
      <c r="D56" s="58"/>
      <c r="E56" s="59"/>
      <c r="F56" s="59"/>
    </row>
    <row r="57" spans="2:6" s="50" customFormat="1" ht="15" customHeight="1" x14ac:dyDescent="0.3">
      <c r="B57" s="26">
        <v>3</v>
      </c>
      <c r="C57" s="118" t="s">
        <v>115</v>
      </c>
      <c r="D57" s="118"/>
      <c r="E57" s="47" t="s">
        <v>73</v>
      </c>
      <c r="F57" s="47" t="s">
        <v>83</v>
      </c>
    </row>
    <row r="58" spans="2:6" s="50" customFormat="1" x14ac:dyDescent="0.3">
      <c r="B58" s="26" t="s">
        <v>14</v>
      </c>
      <c r="C58" s="128" t="s">
        <v>156</v>
      </c>
      <c r="D58" s="128"/>
      <c r="E58" s="81">
        <f>PERC_AVISO_PREVIO_IND</f>
        <v>0.29105124999999998</v>
      </c>
      <c r="F58" s="78">
        <f>PERC_AVISO_PREVIO_IND%*(MOD_1_REMUNERACAO+SUBMOD_2_1_DEC_TERC_ADIC_FERIAS+AL_2_2_FGTS+SUBMOD_2_3_BENEFICIOS)</f>
        <v>5.7702528557450004</v>
      </c>
    </row>
    <row r="59" spans="2:6" s="50" customFormat="1" x14ac:dyDescent="0.3">
      <c r="B59" s="47" t="s">
        <v>16</v>
      </c>
      <c r="C59" s="129" t="s">
        <v>158</v>
      </c>
      <c r="D59" s="129"/>
      <c r="E59" s="83">
        <f>PERC_FGTS_AVISO_PREV_IND</f>
        <v>2.3284099999999999E-2</v>
      </c>
      <c r="F59" s="79">
        <f>PERC_FGTS_AVISO_PREV_IND%*(MOD_1_REMUNERACAO+SUBMOD_2_1_DEC_TERC_ADIC_FERIAS)</f>
        <v>0.31063059097777779</v>
      </c>
    </row>
    <row r="60" spans="2:6" s="18" customFormat="1" ht="34.5" customHeight="1" x14ac:dyDescent="0.15">
      <c r="B60" s="47" t="s">
        <v>19</v>
      </c>
      <c r="C60" s="128" t="s">
        <v>160</v>
      </c>
      <c r="D60" s="128"/>
      <c r="E60" s="81">
        <f>PERC_MULTA_FGTS_AV_PREV_IND</f>
        <v>1.1642049999999999E-2</v>
      </c>
      <c r="F60" s="78">
        <f>PERC_MULTA_FGTS_AV_PREV_IND%*(MOD_1_REMUNERACAO+SUBMOD_2_1_DEC_TERC_ADIC_FERIAS)</f>
        <v>0.15531529548888889</v>
      </c>
    </row>
    <row r="61" spans="2:6" s="50" customFormat="1" x14ac:dyDescent="0.3">
      <c r="B61" s="47" t="s">
        <v>22</v>
      </c>
      <c r="C61" s="129" t="s">
        <v>162</v>
      </c>
      <c r="D61" s="129"/>
      <c r="E61" s="83">
        <f>PERC_AVISO_PREVIO_TRAB</f>
        <v>1.1557269305555555</v>
      </c>
      <c r="F61" s="79">
        <f>PERC_AVISO_PREVIO_TRAB%*(MOD_1_REMUNERACAO+SUBMOD_2_1_DEC_TERC_ADIC_FERIAS+SUBMOD_2_2_GPS_FGTS+SUBMOD_2_3_BENEFICIOS)</f>
        <v>27.353435257571501</v>
      </c>
    </row>
    <row r="62" spans="2:6" s="18" customFormat="1" ht="35.25" customHeight="1" x14ac:dyDescent="0.15">
      <c r="B62" s="47" t="s">
        <v>25</v>
      </c>
      <c r="C62" s="128" t="s">
        <v>164</v>
      </c>
      <c r="D62" s="128"/>
      <c r="E62" s="81">
        <f>PERC_GPS_FGTS_AVISO_PREVIO_TRAB</f>
        <v>0.42530751044444437</v>
      </c>
      <c r="F62" s="78">
        <f>PERC_GPS_FGTS_AVISO_PREVIO_TRAB%*(MOD_1_REMUNERACAO+SUBMOD_2_1_DEC_TERC_ADIC_FERIAS)</f>
        <v>5.673980240449283</v>
      </c>
    </row>
    <row r="63" spans="2:6" s="18" customFormat="1" ht="32.25" customHeight="1" x14ac:dyDescent="0.15">
      <c r="B63" s="47" t="s">
        <v>51</v>
      </c>
      <c r="C63" s="129" t="s">
        <v>166</v>
      </c>
      <c r="D63" s="129"/>
      <c r="E63" s="83">
        <f>PERC_MULTA_FGTS_AV_PREV_TRAB</f>
        <v>0.05</v>
      </c>
      <c r="F63" s="79">
        <f>PERC_MULTA_FGTS_AV_PREV_TRAB%*(MOD_1_REMUNERACAO+SUBMOD_2_1_DEC_TERC_ADIC_FERIAS)</f>
        <v>0.66704444444444444</v>
      </c>
    </row>
    <row r="64" spans="2:6" s="18" customFormat="1" x14ac:dyDescent="0.3">
      <c r="B64" s="118" t="s">
        <v>155</v>
      </c>
      <c r="C64" s="118"/>
      <c r="D64" s="118"/>
      <c r="E64" s="118"/>
      <c r="F64" s="100">
        <f>SUM(F58:F63)</f>
        <v>39.930658684676892</v>
      </c>
    </row>
    <row r="65" spans="2:6" ht="7.5" customHeight="1" x14ac:dyDescent="0.3">
      <c r="B65" s="102"/>
      <c r="C65" s="76"/>
      <c r="D65" s="37"/>
      <c r="E65" s="46"/>
      <c r="F65" s="46"/>
    </row>
    <row r="66" spans="2:6" s="18" customFormat="1" ht="15.95" customHeight="1" x14ac:dyDescent="0.3">
      <c r="B66" s="45" t="s">
        <v>69</v>
      </c>
      <c r="C66" s="57"/>
      <c r="D66" s="58"/>
      <c r="E66" s="15"/>
      <c r="F66" s="15"/>
    </row>
    <row r="67" spans="2:6" s="18" customFormat="1" ht="15.95" customHeight="1" x14ac:dyDescent="0.3">
      <c r="B67" s="45" t="s">
        <v>70</v>
      </c>
      <c r="C67" s="57"/>
      <c r="D67" s="58"/>
      <c r="E67" s="59"/>
      <c r="F67" s="59"/>
    </row>
    <row r="68" spans="2:6" s="18" customFormat="1" ht="16.5" customHeight="1" x14ac:dyDescent="0.15">
      <c r="B68" s="26" t="s">
        <v>71</v>
      </c>
      <c r="C68" s="4" t="s">
        <v>72</v>
      </c>
      <c r="D68" s="4"/>
      <c r="E68" s="47" t="s">
        <v>73</v>
      </c>
      <c r="F68" s="47" t="s">
        <v>83</v>
      </c>
    </row>
    <row r="69" spans="2:6" s="18" customFormat="1" ht="15.95" customHeight="1" x14ac:dyDescent="0.15">
      <c r="B69" s="47" t="s">
        <v>14</v>
      </c>
      <c r="C69" s="123" t="s">
        <v>168</v>
      </c>
      <c r="D69" s="123"/>
      <c r="E69" s="81">
        <f>PERC_SUBSTITUTO_FERIAS</f>
        <v>8.3333333333333321</v>
      </c>
      <c r="F69" s="78">
        <f>PERC_SUBSTITUTO_FERIAS%*(MOD_1_REMUNERACAO+MOD_2_ENCARGOS_BENEFICIOS+MOD_3_PROVISAO_RESCISAO)</f>
        <v>200.5586548903897</v>
      </c>
    </row>
    <row r="70" spans="2:6" s="18" customFormat="1" ht="15.95" customHeight="1" x14ac:dyDescent="0.15">
      <c r="B70" s="47" t="s">
        <v>16</v>
      </c>
      <c r="C70" s="5" t="s">
        <v>170</v>
      </c>
      <c r="D70" s="5"/>
      <c r="E70" s="83">
        <f>PERC_SUBSTITUTO_AUSENCIAS_LEGAIS</f>
        <v>2.2222222222222223</v>
      </c>
      <c r="F70" s="79">
        <f>PERC_SUBSTITUTO_AUSENCIAS_LEGAIS%*(MOD_1_REMUNERACAO+MOD_2_ENCARGOS_BENEFICIOS+MOD_3_PROVISAO_RESCISAO)</f>
        <v>53.482307970770606</v>
      </c>
    </row>
    <row r="71" spans="2:6" s="18" customFormat="1" ht="15.95" customHeight="1" x14ac:dyDescent="0.15">
      <c r="B71" s="47" t="s">
        <v>19</v>
      </c>
      <c r="C71" s="123" t="s">
        <v>172</v>
      </c>
      <c r="D71" s="123"/>
      <c r="E71" s="81">
        <f>PERC_SUBSTITUTO_LICENCA_PATERNIDADE</f>
        <v>3.5673555555555549E-2</v>
      </c>
      <c r="F71" s="78">
        <f>PERC_SUBSTITUTO_LICENCA_PATERNIDADE%*(MOD_1_REMUNERACAO+MOD_2_ENCARGOS_BENEFICIOS+MOD_3_PROVISAO_RESCISAO)</f>
        <v>0.85855683808557737</v>
      </c>
    </row>
    <row r="72" spans="2:6" s="18" customFormat="1" ht="16.5" customHeight="1" x14ac:dyDescent="0.15">
      <c r="B72" s="47" t="s">
        <v>22</v>
      </c>
      <c r="C72" s="5" t="s">
        <v>174</v>
      </c>
      <c r="D72" s="5"/>
      <c r="E72" s="83">
        <f>PERC_SUBSTITUTO_ACID_TRAB</f>
        <v>1.85302229372558E-2</v>
      </c>
      <c r="F72" s="79">
        <f>PERC_SUBSTITUTO_ACID_TRAB%*(MOD_1_REMUNERACAO+MOD_2_ENCARGOS_BENEFICIOS+MOD_3_PROVISAO_RESCISAO)</f>
        <v>0.4459675904538084</v>
      </c>
    </row>
    <row r="73" spans="2:6" s="18" customFormat="1" ht="16.5" customHeight="1" x14ac:dyDescent="0.15">
      <c r="B73" s="47" t="s">
        <v>25</v>
      </c>
      <c r="C73" s="123" t="s">
        <v>176</v>
      </c>
      <c r="D73" s="123"/>
      <c r="E73" s="81">
        <f>PERC_SUBSTITUTO_AFAST_MATERN</f>
        <v>0.14312918399999999</v>
      </c>
      <c r="F73" s="78">
        <f>PERC_SUBSTITUTO_AFAST_MATERN%*(MOD_1_REMUNERACAO+MOD_2_ENCARGOS_BENEFICIOS+MOD_3_PROVISAO_RESCISAO)</f>
        <v>3.4446955942318915</v>
      </c>
    </row>
    <row r="74" spans="2:6" s="18" customFormat="1" x14ac:dyDescent="0.15">
      <c r="B74" s="47" t="s">
        <v>51</v>
      </c>
      <c r="C74" s="140" t="str">
        <f>OUTRAS_AUSENCIAS_DESCRICAO</f>
        <v>Outras Ausências (Especificar - em %)</v>
      </c>
      <c r="D74" s="140"/>
      <c r="E74" s="103">
        <f>PERC_SUBSTITUTO_OUTRAS_AUSENCIAS</f>
        <v>0</v>
      </c>
      <c r="F74" s="79">
        <f>PERC_SUBSTITUTO_OUTRAS_AUSENCIAS%*(MOD_1_REMUNERACAO+MOD_2_ENCARGOS_BENEFICIOS+MOD_3_PROVISAO_RESCISAO)</f>
        <v>0</v>
      </c>
    </row>
    <row r="75" spans="2:6" s="18" customFormat="1" x14ac:dyDescent="0.3">
      <c r="B75" s="118" t="s">
        <v>155</v>
      </c>
      <c r="C75" s="118"/>
      <c r="D75" s="118"/>
      <c r="E75" s="118"/>
      <c r="F75" s="100">
        <f>SUM(F69:F74)</f>
        <v>258.79018288393161</v>
      </c>
    </row>
    <row r="76" spans="2:6" s="18" customFormat="1" ht="15" customHeight="1" x14ac:dyDescent="0.3">
      <c r="B76" s="45" t="s">
        <v>75</v>
      </c>
      <c r="C76" s="57"/>
      <c r="D76" s="58"/>
      <c r="E76" s="59"/>
      <c r="F76" s="59"/>
    </row>
    <row r="77" spans="2:6" s="18" customFormat="1" x14ac:dyDescent="0.15">
      <c r="B77" s="26" t="s">
        <v>76</v>
      </c>
      <c r="C77" s="118" t="s">
        <v>77</v>
      </c>
      <c r="D77" s="118"/>
      <c r="E77" s="118"/>
      <c r="F77" s="47" t="s">
        <v>83</v>
      </c>
    </row>
    <row r="78" spans="2:6" s="18" customFormat="1" ht="16.5" customHeight="1" x14ac:dyDescent="0.15">
      <c r="B78" s="26" t="s">
        <v>14</v>
      </c>
      <c r="C78" s="123" t="s">
        <v>191</v>
      </c>
      <c r="D78" s="123"/>
      <c r="E78" s="123"/>
      <c r="F78" s="97">
        <f>IF(DIAS_TRABALHADOS_NO_MES=15,((MOD_1_REMUNERACAO+MOD_2_ENCARGOS_BENEFICIOS+MOD_3_PROVISAO_RESCISAO)/DIVISOR_DE_HORAS)*((TEMPO_INTERVALO_REFEICAO/HORA_NORMAL)+PERC_HORA_EXTRA%)*DIAS_TRABALHADOS_NO_MES,0)</f>
        <v>0</v>
      </c>
    </row>
    <row r="79" spans="2:6" s="18" customFormat="1" x14ac:dyDescent="0.3">
      <c r="B79" s="118" t="s">
        <v>155</v>
      </c>
      <c r="C79" s="118"/>
      <c r="D79" s="118"/>
      <c r="E79" s="118"/>
      <c r="F79" s="100">
        <f>SUM(F78)</f>
        <v>0</v>
      </c>
    </row>
    <row r="80" spans="2:6" ht="7.5" customHeight="1" x14ac:dyDescent="0.3">
      <c r="B80" s="102"/>
      <c r="C80" s="76"/>
      <c r="D80" s="37"/>
      <c r="E80" s="46"/>
      <c r="F80" s="46"/>
    </row>
    <row r="81" spans="2:6" x14ac:dyDescent="0.3">
      <c r="B81" s="45" t="s">
        <v>81</v>
      </c>
      <c r="C81" s="57"/>
      <c r="D81" s="57"/>
      <c r="E81" s="59"/>
      <c r="F81" s="59"/>
    </row>
    <row r="82" spans="2:6" ht="15.75" customHeight="1" x14ac:dyDescent="0.3">
      <c r="B82" s="60">
        <v>5</v>
      </c>
      <c r="C82" s="119" t="s">
        <v>82</v>
      </c>
      <c r="D82" s="119"/>
      <c r="E82" s="119"/>
      <c r="F82" s="61" t="s">
        <v>83</v>
      </c>
    </row>
    <row r="83" spans="2:6" ht="16.5" customHeight="1" x14ac:dyDescent="0.3">
      <c r="B83" s="62" t="s">
        <v>14</v>
      </c>
      <c r="C83" s="120" t="s">
        <v>84</v>
      </c>
      <c r="D83" s="120"/>
      <c r="E83" s="120"/>
      <c r="F83" s="104">
        <f>UNIFORMES</f>
        <v>43.246000000000002</v>
      </c>
    </row>
    <row r="84" spans="2:6" ht="16.5" customHeight="1" x14ac:dyDescent="0.3">
      <c r="B84" s="62" t="s">
        <v>16</v>
      </c>
      <c r="C84" s="121" t="s">
        <v>85</v>
      </c>
      <c r="D84" s="121"/>
      <c r="E84" s="121"/>
      <c r="F84" s="105">
        <f>MATERIAIS</f>
        <v>181.215</v>
      </c>
    </row>
    <row r="85" spans="2:6" ht="16.5" customHeight="1" x14ac:dyDescent="0.3">
      <c r="B85" s="62" t="s">
        <v>19</v>
      </c>
      <c r="C85" s="120" t="s">
        <v>86</v>
      </c>
      <c r="D85" s="120"/>
      <c r="E85" s="120"/>
      <c r="F85" s="104">
        <f>EQUIPAMENTOS</f>
        <v>0</v>
      </c>
    </row>
    <row r="86" spans="2:6" x14ac:dyDescent="0.3">
      <c r="B86" s="62" t="s">
        <v>22</v>
      </c>
      <c r="C86" s="141" t="str">
        <f>OUTROS_INSUMOS_DESCRICAO</f>
        <v>Outros (Especificar)</v>
      </c>
      <c r="D86" s="141"/>
      <c r="E86" s="141"/>
      <c r="F86" s="105">
        <f>OUTROS_INSUMOS</f>
        <v>0</v>
      </c>
    </row>
    <row r="87" spans="2:6" ht="16.5" customHeight="1" x14ac:dyDescent="0.3">
      <c r="B87" s="119" t="s">
        <v>155</v>
      </c>
      <c r="C87" s="119"/>
      <c r="D87" s="119"/>
      <c r="E87" s="119"/>
      <c r="F87" s="106">
        <f>SUM(F83:F86)</f>
        <v>224.46100000000001</v>
      </c>
    </row>
    <row r="88" spans="2:6" ht="7.5" customHeight="1" x14ac:dyDescent="0.3">
      <c r="B88" s="102"/>
      <c r="C88" s="76"/>
      <c r="D88" s="37"/>
      <c r="E88" s="46"/>
      <c r="F88" s="46"/>
    </row>
    <row r="89" spans="2:6" ht="15" customHeight="1" x14ac:dyDescent="0.3">
      <c r="B89" s="122" t="s">
        <v>88</v>
      </c>
      <c r="C89" s="122"/>
      <c r="D89" s="122"/>
      <c r="E89" s="122"/>
      <c r="F89" s="122"/>
    </row>
    <row r="90" spans="2:6" x14ac:dyDescent="0.3">
      <c r="B90" s="26">
        <v>6</v>
      </c>
      <c r="C90" s="118" t="s">
        <v>89</v>
      </c>
      <c r="D90" s="118"/>
      <c r="E90" s="47" t="s">
        <v>73</v>
      </c>
      <c r="F90" s="47" t="s">
        <v>83</v>
      </c>
    </row>
    <row r="91" spans="2:6" ht="16.5" customHeight="1" x14ac:dyDescent="0.3">
      <c r="B91" s="26" t="s">
        <v>14</v>
      </c>
      <c r="C91" s="123" t="s">
        <v>90</v>
      </c>
      <c r="D91" s="123"/>
      <c r="E91" s="107">
        <f>PERC_CUSTOS_INDIRETOS</f>
        <v>4.7300000000000004</v>
      </c>
      <c r="F91" s="78">
        <f>PERC_CUSTOS_INDIRETOS%*(MOD_1_REMUNERACAO+MOD_2_ENCARGOS_BENEFICIOS+MOD_3_PROVISAO_RESCISAO+MOD_4_CUSTO_REPOSICAO+MOD_5_INSUMOS)</f>
        <v>136.69487346619522</v>
      </c>
    </row>
    <row r="92" spans="2:6" ht="15.75" customHeight="1" x14ac:dyDescent="0.3">
      <c r="B92" s="47" t="s">
        <v>16</v>
      </c>
      <c r="C92" s="5" t="s">
        <v>91</v>
      </c>
      <c r="D92" s="5"/>
      <c r="E92" s="108">
        <f>PERC_LUCRO</f>
        <v>5.57</v>
      </c>
      <c r="F92" s="79">
        <f>PERC_LUCRO%*(MOD_1_REMUNERACAO+MOD_2_ENCARGOS_BENEFICIOS+MOD_3_PROVISAO_RESCISAO+MOD_4_CUSTO_REPOSICAO+MOD_5_INSUMOS+AL_6_A_CUSTOS_INDIRETOS)</f>
        <v>168.58440026743858</v>
      </c>
    </row>
    <row r="93" spans="2:6" ht="16.5" customHeight="1" x14ac:dyDescent="0.3">
      <c r="B93" s="47" t="s">
        <v>19</v>
      </c>
      <c r="C93" s="123" t="s">
        <v>192</v>
      </c>
      <c r="D93" s="123"/>
      <c r="E93" s="107">
        <f>SUM(E94:E96)</f>
        <v>8.65</v>
      </c>
      <c r="F93" s="78">
        <f>SUM(F94:F96)</f>
        <v>302.55913330448163</v>
      </c>
    </row>
    <row r="94" spans="2:6" ht="15.75" customHeight="1" x14ac:dyDescent="0.3">
      <c r="B94" s="68" t="s">
        <v>92</v>
      </c>
      <c r="C94" s="142" t="s">
        <v>93</v>
      </c>
      <c r="D94" s="142"/>
      <c r="E94" s="109">
        <f>PERC_PIS</f>
        <v>0.65</v>
      </c>
      <c r="F94" s="110">
        <f>((MOD_1_REMUNERACAO+MOD_2_ENCARGOS_BENEFICIOS+MOD_3_PROVISAO_RESCISAO+MOD_4_CUSTO_REPOSICAO+MOD_5_INSUMOS+AL_6_A_CUSTOS_INDIRETOS+AL_6_B_LUCRO)*PERC_PIS%)/(1-PERC_TRIBUTOS%)</f>
        <v>22.735657415943709</v>
      </c>
    </row>
    <row r="95" spans="2:6" ht="16.5" customHeight="1" x14ac:dyDescent="0.3">
      <c r="B95" s="68" t="s">
        <v>94</v>
      </c>
      <c r="C95" s="143" t="s">
        <v>95</v>
      </c>
      <c r="D95" s="143"/>
      <c r="E95" s="111">
        <f>PERC_COFINS</f>
        <v>3</v>
      </c>
      <c r="F95" s="112">
        <f>((MOD_1_REMUNERACAO+MOD_2_ENCARGOS_BENEFICIOS+MOD_3_PROVISAO_RESCISAO+MOD_4_CUSTO_REPOSICAO+MOD_5_INSUMOS+AL_6_A_CUSTOS_INDIRETOS+AL_6_B_LUCRO)*PERC_COFINS%)/(1-PERC_TRIBUTOS%)</f>
        <v>104.93380345820172</v>
      </c>
    </row>
    <row r="96" spans="2:6" s="64" customFormat="1" ht="16.5" customHeight="1" x14ac:dyDescent="0.3">
      <c r="B96" s="68" t="s">
        <v>96</v>
      </c>
      <c r="C96" s="142" t="s">
        <v>97</v>
      </c>
      <c r="D96" s="142"/>
      <c r="E96" s="109">
        <f>PERC_ISS</f>
        <v>5</v>
      </c>
      <c r="F96" s="110">
        <f>((MOD_1_REMUNERACAO+MOD_2_ENCARGOS_BENEFICIOS+MOD_3_PROVISAO_RESCISAO+MOD_4_CUSTO_REPOSICAO+MOD_5_INSUMOS+AL_6_A_CUSTOS_INDIRETOS+AL_6_B_LUCRO)*PERC_ISS%)/(1-PERC_TRIBUTOS%)</f>
        <v>174.88967243033622</v>
      </c>
    </row>
    <row r="97" spans="2:6" s="64" customFormat="1" x14ac:dyDescent="0.3">
      <c r="B97" s="118" t="s">
        <v>155</v>
      </c>
      <c r="C97" s="118"/>
      <c r="D97" s="118"/>
      <c r="E97" s="118"/>
      <c r="F97" s="113">
        <f>AL_6_A_CUSTOS_INDIRETOS+AL_6_B_LUCRO+AL_6_C_TRIBUTOS</f>
        <v>607.83840703811541</v>
      </c>
    </row>
    <row r="98" spans="2:6" s="64" customFormat="1" ht="20.25" x14ac:dyDescent="0.3">
      <c r="B98" s="114" t="s">
        <v>193</v>
      </c>
      <c r="C98" s="115"/>
      <c r="D98" s="115"/>
      <c r="E98" s="115"/>
      <c r="F98" s="116"/>
    </row>
    <row r="99" spans="2:6" s="65" customFormat="1" ht="16.5" customHeight="1" x14ac:dyDescent="0.3">
      <c r="B99" s="47" t="s">
        <v>194</v>
      </c>
      <c r="C99" s="4" t="s">
        <v>195</v>
      </c>
      <c r="D99" s="4"/>
      <c r="E99" s="4"/>
      <c r="F99" s="47" t="s">
        <v>196</v>
      </c>
    </row>
    <row r="100" spans="2:6" s="64" customFormat="1" ht="16.5" customHeight="1" x14ac:dyDescent="0.3">
      <c r="B100" s="26">
        <v>1</v>
      </c>
      <c r="C100" s="123" t="s">
        <v>44</v>
      </c>
      <c r="D100" s="123"/>
      <c r="E100" s="123"/>
      <c r="F100" s="78">
        <f>MOD_1_REMUNERACAO</f>
        <v>1200.68</v>
      </c>
    </row>
    <row r="101" spans="2:6" s="66" customFormat="1" ht="16.5" customHeight="1" x14ac:dyDescent="0.3">
      <c r="B101" s="47">
        <v>2</v>
      </c>
      <c r="C101" s="5" t="s">
        <v>197</v>
      </c>
      <c r="D101" s="5"/>
      <c r="E101" s="5"/>
      <c r="F101" s="79">
        <f>MOD_2_ENCARGOS_BENEFICIOS</f>
        <v>1166.0932</v>
      </c>
    </row>
    <row r="102" spans="2:6" s="66" customFormat="1" ht="16.5" customHeight="1" x14ac:dyDescent="0.3">
      <c r="B102" s="47">
        <v>3</v>
      </c>
      <c r="C102" s="123" t="s">
        <v>115</v>
      </c>
      <c r="D102" s="123"/>
      <c r="E102" s="123"/>
      <c r="F102" s="78">
        <f>MOD_3_PROVISAO_RESCISAO</f>
        <v>39.930658684676892</v>
      </c>
    </row>
    <row r="103" spans="2:6" s="66" customFormat="1" ht="16.5" customHeight="1" x14ac:dyDescent="0.3">
      <c r="B103" s="47">
        <v>4</v>
      </c>
      <c r="C103" s="5" t="s">
        <v>198</v>
      </c>
      <c r="D103" s="5"/>
      <c r="E103" s="5"/>
      <c r="F103" s="79">
        <f>MOD_4_CUSTO_REPOSICAO</f>
        <v>258.79018288393161</v>
      </c>
    </row>
    <row r="104" spans="2:6" s="66" customFormat="1" ht="16.5" customHeight="1" x14ac:dyDescent="0.3">
      <c r="B104" s="47">
        <v>5</v>
      </c>
      <c r="C104" s="123" t="s">
        <v>82</v>
      </c>
      <c r="D104" s="123"/>
      <c r="E104" s="123"/>
      <c r="F104" s="78">
        <f>MOD_5_INSUMOS</f>
        <v>224.46100000000001</v>
      </c>
    </row>
    <row r="105" spans="2:6" s="66" customFormat="1" ht="16.5" customHeight="1" x14ac:dyDescent="0.3">
      <c r="B105" s="47">
        <v>6</v>
      </c>
      <c r="C105" s="5" t="s">
        <v>89</v>
      </c>
      <c r="D105" s="5"/>
      <c r="E105" s="5"/>
      <c r="F105" s="79">
        <f>MOD_6_CUSTOS_IND_LUCRO_TRIB</f>
        <v>607.83840703811541</v>
      </c>
    </row>
    <row r="106" spans="2:6" ht="16.5" customHeight="1" x14ac:dyDescent="0.3">
      <c r="B106" s="4" t="s">
        <v>199</v>
      </c>
      <c r="C106" s="4"/>
      <c r="D106" s="4"/>
      <c r="E106" s="4"/>
      <c r="F106" s="113">
        <f>SUM(F100:F105)</f>
        <v>3497.7934486067243</v>
      </c>
    </row>
    <row r="107" spans="2:6" ht="16.5" customHeight="1" x14ac:dyDescent="0.3">
      <c r="B107" s="4" t="s">
        <v>200</v>
      </c>
      <c r="C107" s="4"/>
      <c r="D107" s="4"/>
      <c r="E107" s="4"/>
      <c r="F107" s="113">
        <f>VALOR_TOTAL_EMPREGADO*EMPREG_POR_POSTO</f>
        <v>3497.7934486067243</v>
      </c>
    </row>
    <row r="108" spans="2:6" ht="16.5" customHeight="1" x14ac:dyDescent="0.3">
      <c r="B108" s="4" t="s">
        <v>201</v>
      </c>
      <c r="C108" s="4"/>
      <c r="D108" s="4"/>
      <c r="E108" s="4"/>
      <c r="F108" s="113">
        <f>VALOR_TOTAL_EMPREGADO*EMPREG_POR_POSTO*QTDE_POSTOS</f>
        <v>3497.7934486067243</v>
      </c>
    </row>
  </sheetData>
  <sheetProtection sheet="1" objects="1" scenarios="1"/>
  <mergeCells count="97">
    <mergeCell ref="B108:E108"/>
    <mergeCell ref="C103:E103"/>
    <mergeCell ref="C104:E104"/>
    <mergeCell ref="C105:E105"/>
    <mergeCell ref="B106:E106"/>
    <mergeCell ref="B107:E107"/>
    <mergeCell ref="B97:E97"/>
    <mergeCell ref="C99:E99"/>
    <mergeCell ref="C100:E100"/>
    <mergeCell ref="C101:E101"/>
    <mergeCell ref="C102:E102"/>
    <mergeCell ref="C92:D92"/>
    <mergeCell ref="C93:D93"/>
    <mergeCell ref="C94:D94"/>
    <mergeCell ref="C95:D95"/>
    <mergeCell ref="C96:D96"/>
    <mergeCell ref="C86:E86"/>
    <mergeCell ref="B87:E87"/>
    <mergeCell ref="B89:F89"/>
    <mergeCell ref="C90:D90"/>
    <mergeCell ref="C91:D91"/>
    <mergeCell ref="B79:E79"/>
    <mergeCell ref="C82:E82"/>
    <mergeCell ref="C83:E83"/>
    <mergeCell ref="C84:E84"/>
    <mergeCell ref="C85:E85"/>
    <mergeCell ref="C73:D73"/>
    <mergeCell ref="C74:D74"/>
    <mergeCell ref="B75:E75"/>
    <mergeCell ref="C77:E77"/>
    <mergeCell ref="C78:E78"/>
    <mergeCell ref="C68:D68"/>
    <mergeCell ref="C69:D69"/>
    <mergeCell ref="C70:D70"/>
    <mergeCell ref="C71:D71"/>
    <mergeCell ref="C72:D72"/>
    <mergeCell ref="C60:D60"/>
    <mergeCell ref="C61:D61"/>
    <mergeCell ref="C62:D62"/>
    <mergeCell ref="C63:D63"/>
    <mergeCell ref="B64:E64"/>
    <mergeCell ref="C54:E54"/>
    <mergeCell ref="B55:E55"/>
    <mergeCell ref="C57:D57"/>
    <mergeCell ref="C58:D58"/>
    <mergeCell ref="C59:D59"/>
    <mergeCell ref="C49:E49"/>
    <mergeCell ref="C50:E50"/>
    <mergeCell ref="C51:E51"/>
    <mergeCell ref="C52:E52"/>
    <mergeCell ref="C53:E53"/>
    <mergeCell ref="C43:D43"/>
    <mergeCell ref="C44:D44"/>
    <mergeCell ref="C45:D45"/>
    <mergeCell ref="C46:D46"/>
    <mergeCell ref="B47:E47"/>
    <mergeCell ref="C38:D38"/>
    <mergeCell ref="C39:D39"/>
    <mergeCell ref="C40:D40"/>
    <mergeCell ref="C41:D41"/>
    <mergeCell ref="C42:D42"/>
    <mergeCell ref="C33:D33"/>
    <mergeCell ref="C34:D34"/>
    <mergeCell ref="C35:D35"/>
    <mergeCell ref="B36:E36"/>
    <mergeCell ref="B37:F37"/>
    <mergeCell ref="C26:E26"/>
    <mergeCell ref="C27:E27"/>
    <mergeCell ref="C28:E28"/>
    <mergeCell ref="C29:E29"/>
    <mergeCell ref="B30:E30"/>
    <mergeCell ref="C21:E21"/>
    <mergeCell ref="C22:E22"/>
    <mergeCell ref="C23:E23"/>
    <mergeCell ref="C24:E24"/>
    <mergeCell ref="C25:E25"/>
    <mergeCell ref="D15:F15"/>
    <mergeCell ref="D16:F16"/>
    <mergeCell ref="C17:E17"/>
    <mergeCell ref="B18:F18"/>
    <mergeCell ref="B19:E19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7.9861111111111105E-2" right="0.05" top="0.196527777777778" bottom="0.15763888888888899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127</vt:i4>
      </vt:variant>
    </vt:vector>
  </HeadingPairs>
  <TitlesOfParts>
    <vt:vector size="131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PERC_CONTRIB_SOCIAL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PERC_FGTS_AVISO_PREV_IND</vt:lpstr>
      <vt:lpstr>PERC_GPS_FGTS</vt:lpstr>
      <vt:lpstr>PERC_GPS_FGTS_AVISO_PREVIO_TRAB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Iacy</cp:lastModifiedBy>
  <cp:revision>5</cp:revision>
  <cp:lastPrinted>2019-08-28T14:06:04Z</cp:lastPrinted>
  <dcterms:created xsi:type="dcterms:W3CDTF">2014-02-07T18:14:59Z</dcterms:created>
  <dcterms:modified xsi:type="dcterms:W3CDTF">2020-07-18T01:01:21Z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